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turehomeshub.sharepoint.com/sites/FutureHomesHubTeamSite/Shared Documents/Domains/Homes and Construction (Adam)/00. External Shared - WLC Conventions v2/"/>
    </mc:Choice>
  </mc:AlternateContent>
  <xr:revisionPtr revIDLastSave="94" documentId="8_{D35977D5-0BD0-410A-88B7-57C94C72DA08}" xr6:coauthVersionLast="47" xr6:coauthVersionMax="47" xr10:uidLastSave="{6D93F01A-AA83-427C-966E-D7245A4A9C00}"/>
  <bookViews>
    <workbookView xWindow="-38510" yWindow="-7490" windowWidth="38620" windowHeight="21100" xr2:uid="{1B63A215-826F-41D4-ABAC-823949AA94FF}"/>
  </bookViews>
  <sheets>
    <sheet name="Benchmarks v2" sheetId="14" r:id="rId1"/>
    <sheet name="Materials Table" sheetId="7" state="hidden" r:id="rId2"/>
    <sheet name="Heating-Houses-TM65.1" sheetId="2" r:id="rId3"/>
    <sheet name="Heating-Apartments-TM65.1" sheetId="3" r:id="rId4"/>
    <sheet name="Bathroom &amp; WC" sheetId="6" r:id="rId5"/>
    <sheet name="Kitchen (2)" sheetId="16" r:id="rId6"/>
    <sheet name="Electrical system" sheetId="10" r:id="rId7"/>
    <sheet name="Water supply drainage" sheetId="11" r:id="rId8"/>
    <sheet name="Wall finishes" sheetId="12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16" l="1"/>
  <c r="G82" i="16" s="1"/>
  <c r="K82" i="16" s="1"/>
  <c r="F81" i="16"/>
  <c r="G81" i="16" s="1"/>
  <c r="K81" i="16" s="1"/>
  <c r="F80" i="16"/>
  <c r="G80" i="16" s="1"/>
  <c r="K80" i="16" s="1"/>
  <c r="F79" i="16"/>
  <c r="G79" i="16" s="1"/>
  <c r="K79" i="16" s="1"/>
  <c r="F78" i="16"/>
  <c r="G78" i="16" s="1"/>
  <c r="K78" i="16" s="1"/>
  <c r="G76" i="16"/>
  <c r="K76" i="16" s="1"/>
  <c r="F76" i="16"/>
  <c r="F75" i="16"/>
  <c r="G75" i="16" s="1"/>
  <c r="K75" i="16" s="1"/>
  <c r="F73" i="16"/>
  <c r="D73" i="16"/>
  <c r="F72" i="16"/>
  <c r="D72" i="16"/>
  <c r="F71" i="16"/>
  <c r="G71" i="16" s="1"/>
  <c r="F70" i="16"/>
  <c r="G70" i="16" s="1"/>
  <c r="K70" i="16" s="1"/>
  <c r="F69" i="16"/>
  <c r="G69" i="16" s="1"/>
  <c r="K69" i="16" s="1"/>
  <c r="F68" i="16"/>
  <c r="G68" i="16" s="1"/>
  <c r="K68" i="16" s="1"/>
  <c r="F67" i="16"/>
  <c r="G67" i="16" s="1"/>
  <c r="K67" i="16" s="1"/>
  <c r="F66" i="16"/>
  <c r="G66" i="16" s="1"/>
  <c r="K66" i="16" s="1"/>
  <c r="F65" i="16"/>
  <c r="G65" i="16" s="1"/>
  <c r="K65" i="16" s="1"/>
  <c r="F64" i="16"/>
  <c r="G64" i="16" s="1"/>
  <c r="K64" i="16" s="1"/>
  <c r="F51" i="16"/>
  <c r="G51" i="16" s="1"/>
  <c r="K51" i="16" s="1"/>
  <c r="F50" i="16"/>
  <c r="G50" i="16" s="1"/>
  <c r="K50" i="16" s="1"/>
  <c r="F49" i="16"/>
  <c r="G49" i="16" s="1"/>
  <c r="K49" i="16" s="1"/>
  <c r="G48" i="16"/>
  <c r="K48" i="16" s="1"/>
  <c r="F48" i="16"/>
  <c r="F47" i="16"/>
  <c r="G47" i="16" s="1"/>
  <c r="K47" i="16" s="1"/>
  <c r="F45" i="16"/>
  <c r="G45" i="16" s="1"/>
  <c r="K45" i="16" s="1"/>
  <c r="F44" i="16"/>
  <c r="G44" i="16" s="1"/>
  <c r="K44" i="16" s="1"/>
  <c r="F42" i="16"/>
  <c r="D42" i="16"/>
  <c r="F41" i="16"/>
  <c r="D41" i="16"/>
  <c r="G41" i="16" s="1"/>
  <c r="K41" i="16" s="1"/>
  <c r="F40" i="16"/>
  <c r="G40" i="16" s="1"/>
  <c r="G39" i="16"/>
  <c r="K39" i="16" s="1"/>
  <c r="F39" i="16"/>
  <c r="F38" i="16"/>
  <c r="G38" i="16" s="1"/>
  <c r="K38" i="16" s="1"/>
  <c r="F37" i="16"/>
  <c r="G37" i="16" s="1"/>
  <c r="K37" i="16" s="1"/>
  <c r="F36" i="16"/>
  <c r="G36" i="16" s="1"/>
  <c r="K36" i="16" s="1"/>
  <c r="F35" i="16"/>
  <c r="G35" i="16" s="1"/>
  <c r="K35" i="16" s="1"/>
  <c r="F34" i="16"/>
  <c r="G34" i="16" s="1"/>
  <c r="K34" i="16" s="1"/>
  <c r="F22" i="16"/>
  <c r="G22" i="16" s="1"/>
  <c r="K22" i="16" s="1"/>
  <c r="F21" i="16"/>
  <c r="G21" i="16" s="1"/>
  <c r="K21" i="16" s="1"/>
  <c r="F20" i="16"/>
  <c r="G20" i="16" s="1"/>
  <c r="K20" i="16" s="1"/>
  <c r="F19" i="16"/>
  <c r="G19" i="16" s="1"/>
  <c r="K19" i="16" s="1"/>
  <c r="F17" i="16"/>
  <c r="G17" i="16" s="1"/>
  <c r="K17" i="16" s="1"/>
  <c r="F16" i="16"/>
  <c r="G16" i="16" s="1"/>
  <c r="K16" i="16" s="1"/>
  <c r="F15" i="16"/>
  <c r="G15" i="16" s="1"/>
  <c r="K15" i="16" s="1"/>
  <c r="F14" i="16"/>
  <c r="D14" i="16"/>
  <c r="G14" i="16" s="1"/>
  <c r="K14" i="16" s="1"/>
  <c r="F13" i="16"/>
  <c r="G13" i="16" s="1"/>
  <c r="K13" i="16" s="1"/>
  <c r="F12" i="16"/>
  <c r="G12" i="16" s="1"/>
  <c r="K12" i="16" s="1"/>
  <c r="F11" i="16"/>
  <c r="G11" i="16" s="1"/>
  <c r="K11" i="16" s="1"/>
  <c r="F10" i="16"/>
  <c r="G10" i="16" s="1"/>
  <c r="K10" i="16" s="1"/>
  <c r="F9" i="16"/>
  <c r="G9" i="16" s="1"/>
  <c r="K9" i="16" s="1"/>
  <c r="F8" i="16"/>
  <c r="G8" i="16" s="1"/>
  <c r="K8" i="16" s="1"/>
  <c r="G7" i="16"/>
  <c r="K7" i="16" s="1"/>
  <c r="F7" i="16"/>
  <c r="F6" i="16"/>
  <c r="G6" i="16" s="1"/>
  <c r="K6" i="16" s="1"/>
  <c r="G72" i="16" l="1"/>
  <c r="K72" i="16" s="1"/>
  <c r="G73" i="16"/>
  <c r="K73" i="16" s="1"/>
  <c r="G42" i="16"/>
  <c r="K42" i="16" s="1"/>
  <c r="C57" i="16" s="1"/>
  <c r="C28" i="16"/>
  <c r="C88" i="16"/>
  <c r="C41" i="6" l="1"/>
  <c r="L25" i="7"/>
  <c r="N25" i="7" s="1"/>
  <c r="M25" i="7"/>
  <c r="D5" i="12" l="1"/>
  <c r="D4" i="12"/>
  <c r="F10" i="12" l="1"/>
  <c r="G10" i="12" s="1"/>
  <c r="F9" i="12"/>
  <c r="G9" i="12" s="1"/>
  <c r="F8" i="12"/>
  <c r="G8" i="12" s="1"/>
  <c r="F7" i="12"/>
  <c r="G7" i="12" s="1"/>
  <c r="F6" i="12"/>
  <c r="G6" i="12" s="1"/>
  <c r="F3" i="12"/>
  <c r="G3" i="12" s="1"/>
  <c r="K3" i="12" s="1"/>
  <c r="M24" i="7"/>
  <c r="L24" i="7"/>
  <c r="M23" i="7"/>
  <c r="L23" i="7"/>
  <c r="L22" i="7"/>
  <c r="M22" i="7"/>
  <c r="D12" i="10"/>
  <c r="M20" i="7"/>
  <c r="L20" i="7"/>
  <c r="M21" i="7"/>
  <c r="L21" i="7"/>
  <c r="N21" i="7" s="1"/>
  <c r="F17" i="7"/>
  <c r="L17" i="7" s="1"/>
  <c r="N17" i="7" s="1"/>
  <c r="M17" i="7"/>
  <c r="L15" i="7"/>
  <c r="L14" i="7"/>
  <c r="M14" i="7"/>
  <c r="M15" i="7"/>
  <c r="L16" i="7"/>
  <c r="M16" i="7"/>
  <c r="L18" i="7"/>
  <c r="N18" i="7" s="1"/>
  <c r="M18" i="7"/>
  <c r="L19" i="7"/>
  <c r="M19" i="7"/>
  <c r="L13" i="7"/>
  <c r="M13" i="7"/>
  <c r="F12" i="7"/>
  <c r="F11" i="7"/>
  <c r="N24" i="7" l="1"/>
  <c r="N23" i="7"/>
  <c r="N22" i="7"/>
  <c r="F3" i="11" s="1"/>
  <c r="G3" i="11" s="1"/>
  <c r="K3" i="11" s="1"/>
  <c r="F9" i="10"/>
  <c r="G9" i="10" s="1"/>
  <c r="K9" i="10" s="1"/>
  <c r="F6" i="10"/>
  <c r="G6" i="10" s="1"/>
  <c r="K6" i="10" s="1"/>
  <c r="F9" i="11"/>
  <c r="G9" i="11" s="1"/>
  <c r="K9" i="11" s="1"/>
  <c r="F11" i="10"/>
  <c r="G11" i="10" s="1"/>
  <c r="K11" i="10" s="1"/>
  <c r="F12" i="11"/>
  <c r="G12" i="11" s="1"/>
  <c r="F10" i="10"/>
  <c r="G10" i="10" s="1"/>
  <c r="K10" i="10" s="1"/>
  <c r="F11" i="11"/>
  <c r="G11" i="11" s="1"/>
  <c r="F12" i="10"/>
  <c r="G12" i="10" s="1"/>
  <c r="K12" i="10" s="1"/>
  <c r="F3" i="10"/>
  <c r="G3" i="10" s="1"/>
  <c r="K3" i="10" s="1"/>
  <c r="N13" i="7"/>
  <c r="N16" i="7"/>
  <c r="N15" i="7"/>
  <c r="N20" i="7"/>
  <c r="N19" i="7"/>
  <c r="F6" i="11" s="1"/>
  <c r="G6" i="11" s="1"/>
  <c r="K6" i="11" s="1"/>
  <c r="N14" i="7"/>
  <c r="F10" i="11" l="1"/>
  <c r="G10" i="11" s="1"/>
  <c r="K10" i="11" s="1"/>
  <c r="F8" i="10"/>
  <c r="G8" i="10" s="1"/>
  <c r="K8" i="10" s="1"/>
  <c r="F4" i="10"/>
  <c r="G4" i="10" s="1"/>
  <c r="K4" i="10" s="1"/>
  <c r="F4" i="11"/>
  <c r="G4" i="11" s="1"/>
  <c r="K4" i="11" s="1"/>
  <c r="F5" i="11"/>
  <c r="G5" i="11" s="1"/>
  <c r="K5" i="11" s="1"/>
  <c r="F5" i="10"/>
  <c r="G5" i="10" s="1"/>
  <c r="K5" i="10" s="1"/>
  <c r="L9" i="7" l="1"/>
  <c r="M9" i="7"/>
  <c r="L10" i="7"/>
  <c r="M10" i="7"/>
  <c r="L11" i="7"/>
  <c r="M11" i="7"/>
  <c r="L12" i="7"/>
  <c r="M12" i="7"/>
  <c r="L8" i="7"/>
  <c r="M2" i="7"/>
  <c r="M3" i="7"/>
  <c r="M4" i="7"/>
  <c r="M5" i="7"/>
  <c r="M6" i="7"/>
  <c r="M8" i="7"/>
  <c r="N8" i="7" s="1"/>
  <c r="F4" i="12" s="1"/>
  <c r="G4" i="12" s="1"/>
  <c r="K4" i="12" s="1"/>
  <c r="C17" i="12" s="1"/>
  <c r="C18" i="12" s="1"/>
  <c r="M7" i="7"/>
  <c r="N7" i="7" s="1"/>
  <c r="L7" i="7"/>
  <c r="L2" i="7"/>
  <c r="N2" i="7" s="1"/>
  <c r="F8" i="11" s="1"/>
  <c r="G8" i="11" s="1"/>
  <c r="K8" i="11" s="1"/>
  <c r="L3" i="7"/>
  <c r="L4" i="7"/>
  <c r="N4" i="7" s="1"/>
  <c r="L5" i="7"/>
  <c r="N5" i="7" s="1"/>
  <c r="F5" i="12" s="1"/>
  <c r="G5" i="12" s="1"/>
  <c r="K5" i="12" s="1"/>
  <c r="L6" i="7"/>
  <c r="N6" i="7" s="1"/>
  <c r="N10" i="7" l="1"/>
  <c r="F7" i="10"/>
  <c r="G7" i="10" s="1"/>
  <c r="K7" i="10" s="1"/>
  <c r="C18" i="10" s="1"/>
  <c r="C19" i="10" s="1"/>
  <c r="F7" i="11"/>
  <c r="G7" i="11" s="1"/>
  <c r="K7" i="11" s="1"/>
  <c r="C18" i="11" s="1"/>
  <c r="C19" i="11" s="1"/>
  <c r="N3" i="7"/>
  <c r="F31" i="6"/>
  <c r="G31" i="6" s="1"/>
  <c r="F21" i="6"/>
  <c r="G21" i="6" s="1"/>
  <c r="F32" i="6"/>
  <c r="G32" i="6" s="1"/>
  <c r="F10" i="6"/>
  <c r="G10" i="6" s="1"/>
  <c r="F22" i="6"/>
  <c r="G22" i="6" s="1"/>
  <c r="F8" i="6"/>
  <c r="G8" i="6" s="1"/>
  <c r="K8" i="6" s="1"/>
  <c r="F30" i="6"/>
  <c r="G30" i="6" s="1"/>
  <c r="K30" i="6" s="1"/>
  <c r="F18" i="6"/>
  <c r="G18" i="6" s="1"/>
  <c r="K18" i="6" s="1"/>
  <c r="F28" i="6"/>
  <c r="G28" i="6" s="1"/>
  <c r="K28" i="6" s="1"/>
  <c r="F6" i="6"/>
  <c r="G6" i="6" s="1"/>
  <c r="K6" i="6" s="1"/>
  <c r="F20" i="6"/>
  <c r="G20" i="6" s="1"/>
  <c r="K20" i="6" s="1"/>
  <c r="F7" i="6"/>
  <c r="G7" i="6" s="1"/>
  <c r="K7" i="6" s="1"/>
  <c r="F4" i="6"/>
  <c r="G4" i="6" s="1"/>
  <c r="K4" i="6" s="1"/>
  <c r="F5" i="6"/>
  <c r="G5" i="6" s="1"/>
  <c r="K5" i="6" s="1"/>
  <c r="F29" i="6"/>
  <c r="G29" i="6" s="1"/>
  <c r="K29" i="6" s="1"/>
  <c r="F19" i="6"/>
  <c r="G19" i="6" s="1"/>
  <c r="K19" i="6" s="1"/>
  <c r="F9" i="6"/>
  <c r="G9" i="6" s="1"/>
  <c r="F17" i="6"/>
  <c r="G17" i="6" s="1"/>
  <c r="K17" i="6" s="1"/>
  <c r="N12" i="7"/>
  <c r="N11" i="7"/>
  <c r="N9" i="7"/>
  <c r="F3" i="6" l="1"/>
  <c r="G3" i="6" s="1"/>
  <c r="K3" i="6" s="1"/>
  <c r="C39" i="6" s="1"/>
  <c r="F16" i="6"/>
  <c r="G16" i="6" s="1"/>
  <c r="K16" i="6" s="1"/>
  <c r="C40" i="6" s="1"/>
  <c r="C43" i="6" l="1"/>
  <c r="F22" i="3" l="1"/>
  <c r="E22" i="3"/>
  <c r="D22" i="3"/>
  <c r="C22" i="3"/>
  <c r="B22" i="3"/>
  <c r="C18" i="2"/>
  <c r="D18" i="2"/>
  <c r="E18" i="2"/>
  <c r="F18" i="2"/>
  <c r="B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Graveley</author>
  </authors>
  <commentList>
    <comment ref="J8" authorId="0" shapeId="0" xr:uid="{F7C46145-C0CA-41C9-98DD-5F3DBE8E645A}">
      <text>
        <r>
          <rPr>
            <b/>
            <sz val="9"/>
            <color indexed="81"/>
            <rFont val="Tahoma"/>
            <family val="2"/>
          </rPr>
          <t>Adam Graveley:</t>
        </r>
        <r>
          <rPr>
            <sz val="9"/>
            <color indexed="81"/>
            <rFont val="Tahoma"/>
            <family val="2"/>
          </rPr>
          <t xml:space="preserve">
from ICE v3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Graveley</author>
  </authors>
  <commentList>
    <comment ref="I3" authorId="0" shapeId="0" xr:uid="{152FCDFB-25FE-49AD-BED4-43BC1F6118DD}">
      <text>
        <r>
          <rPr>
            <b/>
            <sz val="9"/>
            <color indexed="81"/>
            <rFont val="Tahoma"/>
            <family val="2"/>
          </rPr>
          <t>Adam Graveley:</t>
        </r>
        <r>
          <rPr>
            <sz val="9"/>
            <color indexed="81"/>
            <rFont val="Tahoma"/>
            <family val="2"/>
          </rPr>
          <t xml:space="preserve">
representative EPD</t>
        </r>
      </text>
    </comment>
    <comment ref="I16" authorId="0" shapeId="0" xr:uid="{C55AAB99-5AD0-4BDC-A683-3444AFB6A767}">
      <text>
        <r>
          <rPr>
            <b/>
            <sz val="9"/>
            <color indexed="81"/>
            <rFont val="Tahoma"/>
            <family val="2"/>
          </rPr>
          <t>Adam Graveley:</t>
        </r>
        <r>
          <rPr>
            <sz val="9"/>
            <color indexed="81"/>
            <rFont val="Tahoma"/>
            <family val="2"/>
          </rPr>
          <t xml:space="preserve">
representative EPD</t>
        </r>
      </text>
    </comment>
  </commentList>
</comments>
</file>

<file path=xl/sharedStrings.xml><?xml version="1.0" encoding="utf-8"?>
<sst xmlns="http://schemas.openxmlformats.org/spreadsheetml/2006/main" count="573" uniqueCount="239">
  <si>
    <t>APPENDIX C - Component Benchmarks</t>
  </si>
  <si>
    <t>Benchmark</t>
  </si>
  <si>
    <t>Unit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</si>
  <si>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</si>
  <si>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</si>
  <si>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</si>
  <si>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</si>
  <si>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</si>
  <si>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</si>
  <si>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</si>
  <si>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</si>
  <si>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</si>
  <si>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Bath/shower, WC, sink, taps, tiling</t>
  </si>
  <si>
    <t>WC</t>
  </si>
  <si>
    <t>WC, small sink, taps</t>
  </si>
  <si>
    <t>Electrical</t>
  </si>
  <si>
    <t>Water supply and drainage</t>
  </si>
  <si>
    <t>Water supply, rainwater, soil and waste</t>
  </si>
  <si>
    <t>Material_Product_Name</t>
  </si>
  <si>
    <t>Impact Factor ID (if from materials table)</t>
  </si>
  <si>
    <t>Material_Type</t>
  </si>
  <si>
    <t>Description</t>
  </si>
  <si>
    <t>Type (Collective EPD, ICE database, Other sources)</t>
  </si>
  <si>
    <t>Total carbon A1-A3 (incl. Biogenic) kgCO2e per declared unit</t>
  </si>
  <si>
    <t>Biogenic carbon kgCO2e per declared unit</t>
  </si>
  <si>
    <t>Declared unit</t>
  </si>
  <si>
    <t>Density (kg/m3)</t>
  </si>
  <si>
    <t>Total carbon A1-A3 (incl. Biogenic) kgCO2e per kg</t>
  </si>
  <si>
    <t>Biogenic carbon kgCO2e per kg</t>
  </si>
  <si>
    <t>Total carbon A1-A3 (excl. Biogenic) kgCO2e per kg</t>
  </si>
  <si>
    <t>ABS</t>
  </si>
  <si>
    <t>Plastic</t>
  </si>
  <si>
    <t>Reference 'ABS' (row 831) ICE v2</t>
  </si>
  <si>
    <t>ICE database</t>
  </si>
  <si>
    <t>kg</t>
  </si>
  <si>
    <t>Acrylic</t>
  </si>
  <si>
    <t>Reference 'Polycarbonate' (row 839) ICE v2</t>
  </si>
  <si>
    <t>Vitreous China</t>
  </si>
  <si>
    <t>Ceramic</t>
  </si>
  <si>
    <t>Reference 'Sanitary Products' (row 258) ICE v2</t>
  </si>
  <si>
    <t>Tiles - Ceramic</t>
  </si>
  <si>
    <t>TIL-001</t>
  </si>
  <si>
    <t>Steel - Galvanised</t>
  </si>
  <si>
    <t>STE-003</t>
  </si>
  <si>
    <t>Steel</t>
  </si>
  <si>
    <t>Other sources</t>
  </si>
  <si>
    <t>Brass</t>
  </si>
  <si>
    <t>Reference 'Brass, general' (row 118) ICE v3</t>
  </si>
  <si>
    <t>Ply - Hardwood</t>
  </si>
  <si>
    <t>Timber</t>
  </si>
  <si>
    <t>Reference TDUK</t>
  </si>
  <si>
    <t>m3</t>
  </si>
  <si>
    <t>EPD: Engineered Stone shower tray</t>
  </si>
  <si>
    <t>Composite</t>
  </si>
  <si>
    <t>representative EPD - https://www.environdec.com/library/epd10300</t>
  </si>
  <si>
    <t>EPD: Acryl Bathtub and Shower Tray Products</t>
  </si>
  <si>
    <t>representative EPD - https://www.environdec.com/library/epd5322</t>
  </si>
  <si>
    <t>Electrical items - fridges and freezers</t>
  </si>
  <si>
    <t>Electrical items</t>
  </si>
  <si>
    <t>UK Gov factors 2023</t>
  </si>
  <si>
    <t>Electrical items - large</t>
  </si>
  <si>
    <t>Steel - Stainless</t>
  </si>
  <si>
    <t>STE-004</t>
  </si>
  <si>
    <t>Aluminium</t>
  </si>
  <si>
    <t>Metal</t>
  </si>
  <si>
    <t>Reference 'Aluminium, general, European mix' (row 40) ICE v3</t>
  </si>
  <si>
    <t>MDF</t>
  </si>
  <si>
    <t>Chipboard</t>
  </si>
  <si>
    <t>Electrical items - small</t>
  </si>
  <si>
    <t>Copper</t>
  </si>
  <si>
    <t>Reference 'Copper, virgin' (row 618) ICE v2</t>
  </si>
  <si>
    <t>PVC, injection moulding</t>
  </si>
  <si>
    <t>Reference 'PVC, general' (row 848) ICE v2</t>
  </si>
  <si>
    <t>Urea Formaldehyde</t>
  </si>
  <si>
    <t>Reference 'Urea Formaldehyde' ICE v2</t>
  </si>
  <si>
    <t>Polycarbonate</t>
  </si>
  <si>
    <t>Polypropylene</t>
  </si>
  <si>
    <t>PLA-004</t>
  </si>
  <si>
    <t>Reference 'Polypropylene, injection moulding' (row 841) ICE v2</t>
  </si>
  <si>
    <t>895-920</t>
  </si>
  <si>
    <t>PVC, pipe</t>
  </si>
  <si>
    <t>PLA-005</t>
  </si>
  <si>
    <t>PVC</t>
  </si>
  <si>
    <t>Paint</t>
  </si>
  <si>
    <t>Other</t>
  </si>
  <si>
    <t>Reference 'waterborne paint' (row 807) ICE v2</t>
  </si>
  <si>
    <t xml:space="preserve">Table 4.1 Embodied carbon results for terraced house </t>
  </si>
  <si>
    <t>System option</t>
  </si>
  <si>
    <t xml:space="preserve">(A1–A4) </t>
  </si>
  <si>
    <t xml:space="preserve">(B3–B4) </t>
  </si>
  <si>
    <t xml:space="preserve">(C2–C4) </t>
  </si>
  <si>
    <t>Refrigerant leakage*</t>
  </si>
  <si>
    <t>Total kgCO2e/m2 (60 years)</t>
  </si>
  <si>
    <t xml:space="preserve">Gas: individual gas boiler </t>
  </si>
  <si>
    <t>n/a</t>
  </si>
  <si>
    <t xml:space="preserve">GSHP: individual ground source heat pump </t>
  </si>
  <si>
    <t xml:space="preserve">ASHP: individual air to water heat pump </t>
  </si>
  <si>
    <t xml:space="preserve">VRF: individual variable refrigerant flow system </t>
  </si>
  <si>
    <t xml:space="preserve">DElec: direct electric space heating and hot water </t>
  </si>
  <si>
    <t xml:space="preserve">DHWHP: integrated heat pump for DHW, direct electric heating </t>
  </si>
  <si>
    <t xml:space="preserve">ExASHP: exhaust air source heat pump** </t>
  </si>
  <si>
    <t>* B1 + C1: refrigerant leakage assumptions can be found in section A.4.2</t>
  </si>
  <si>
    <t>** Without MVHR component</t>
  </si>
  <si>
    <t>AVERAGE</t>
  </si>
  <si>
    <t xml:space="preserve">Table 4.2 Embodied carbon results for 15-unit residential development </t>
  </si>
  <si>
    <t xml:space="preserve">ASHP: individual air-to-water heat pump </t>
  </si>
  <si>
    <t xml:space="preserve">ComGB&amp;ASHP: communal gas boilers and air  source heat pumps </t>
  </si>
  <si>
    <t xml:space="preserve">ComASHP: communal air source heat pumps </t>
  </si>
  <si>
    <t xml:space="preserve">ComGB&amp;CHP: communal gas boilers and combined heat and power </t>
  </si>
  <si>
    <t xml:space="preserve">AcAmloop: active ambient loop with ground source heat pumps </t>
  </si>
  <si>
    <t xml:space="preserve">PvAmloop: passive ambient loop with ground source heat pumps </t>
  </si>
  <si>
    <t xml:space="preserve">ComDH: district heating </t>
  </si>
  <si>
    <t>Family bathroom</t>
  </si>
  <si>
    <t>Component</t>
  </si>
  <si>
    <t>Description / Notes</t>
  </si>
  <si>
    <t>Assumed weight (kg)</t>
  </si>
  <si>
    <t>Assumed material</t>
  </si>
  <si>
    <t>Carbon factor (kgCO2e/kg)</t>
  </si>
  <si>
    <t>Carbon (kgCO2e)</t>
  </si>
  <si>
    <t>Complexity factor</t>
  </si>
  <si>
    <t>Buffer factor</t>
  </si>
  <si>
    <t>Adjusted carbon (kgCO2e)</t>
  </si>
  <si>
    <t>Bath</t>
  </si>
  <si>
    <t>Bath taps</t>
  </si>
  <si>
    <t>Shower mixer</t>
  </si>
  <si>
    <t>shower over bath</t>
  </si>
  <si>
    <t>Sink</t>
  </si>
  <si>
    <t>inc. pedestal</t>
  </si>
  <si>
    <t>Sink taps</t>
  </si>
  <si>
    <t>inc. clicker waste</t>
  </si>
  <si>
    <t>close coupled</t>
  </si>
  <si>
    <t>Ensuite bathroom</t>
  </si>
  <si>
    <t>Shower tray</t>
  </si>
  <si>
    <t>smaller size</t>
  </si>
  <si>
    <t>Total impact A1-A3</t>
  </si>
  <si>
    <t>per WC</t>
  </si>
  <si>
    <t>Average family / ensuite</t>
  </si>
  <si>
    <t>per bathroom or ensuite</t>
  </si>
  <si>
    <t>Worktops and upstands</t>
  </si>
  <si>
    <t>Hinges</t>
  </si>
  <si>
    <t>Handles</t>
  </si>
  <si>
    <t>Drawer box</t>
  </si>
  <si>
    <t>Ply</t>
  </si>
  <si>
    <t>assume 3 sheets</t>
  </si>
  <si>
    <t>Tiles</t>
  </si>
  <si>
    <t>assume 2m2 @ 18kg/m2</t>
  </si>
  <si>
    <t>Appliances</t>
  </si>
  <si>
    <t>Oven</t>
  </si>
  <si>
    <t>Hob</t>
  </si>
  <si>
    <t>Dishwasher</t>
  </si>
  <si>
    <t>Fridge / freezer</t>
  </si>
  <si>
    <t>Washing machine</t>
  </si>
  <si>
    <t>Total impact A1-A3 (kgCO2e)</t>
  </si>
  <si>
    <t>per kitchen</t>
  </si>
  <si>
    <t>Electrical (3 bed, 83m2)</t>
  </si>
  <si>
    <t>Electrical cabling (wire)</t>
  </si>
  <si>
    <t>assume 50/50 split wire and insulation</t>
  </si>
  <si>
    <t>Electrical cabling (insulation)</t>
  </si>
  <si>
    <t>Switches and sockets (front plates)</t>
  </si>
  <si>
    <t>assume 50/50 split front and interior</t>
  </si>
  <si>
    <t>Switches and sockets (cased interior)</t>
  </si>
  <si>
    <t>Switches and sockets (back boxes)</t>
  </si>
  <si>
    <t>Light fixtures</t>
  </si>
  <si>
    <t>Bulbs</t>
  </si>
  <si>
    <t>Consumer unit</t>
  </si>
  <si>
    <t>Intermittent extract fans</t>
  </si>
  <si>
    <t>assume 1.9kg per fan</t>
  </si>
  <si>
    <t>per 83m2 house</t>
  </si>
  <si>
    <t>per m2 GIA</t>
  </si>
  <si>
    <t>Water supply and drainage (3 bed, 83m2)</t>
  </si>
  <si>
    <t>Water supply (pipe)</t>
  </si>
  <si>
    <t>assume Hep2O</t>
  </si>
  <si>
    <t>Water supply (bends, etc)</t>
  </si>
  <si>
    <t>Internal soil and waste (pipe)</t>
  </si>
  <si>
    <t>Internal soil and waste (bends, etc)</t>
  </si>
  <si>
    <t>External rainwater (pipe, gutter)</t>
  </si>
  <si>
    <t>External rainwater (bends, etc)</t>
  </si>
  <si>
    <t>50 litres</t>
  </si>
  <si>
    <t>assume 2 sheets, 18mm (Bathroom + WC)</t>
  </si>
  <si>
    <t>assume 10m2 @ 18kg/m2 (Bathroom + WC)</t>
  </si>
  <si>
    <t>per 3 bed house</t>
  </si>
  <si>
    <t>Wall finishes</t>
  </si>
  <si>
    <t>Reference: CIBSE TM65.1 Embodied carbon in building services</t>
  </si>
  <si>
    <t>Future Homes Hub WLC Conventions for New Homes - June 2026</t>
  </si>
  <si>
    <t>Cabins and welfare units</t>
  </si>
  <si>
    <t>Rental impact factor per cabin per week</t>
  </si>
  <si>
    <t>kgCO2e / cabin-weeks</t>
  </si>
  <si>
    <t>Electrical system</t>
  </si>
  <si>
    <t>Electrical equipment including lighting, cabling, consumer unit, fans, switches and sockets</t>
  </si>
  <si>
    <t>kgCO2e / m2 (GIA)</t>
  </si>
  <si>
    <t>FF&amp;E – Bathroom (and ensuite)</t>
  </si>
  <si>
    <t>kgCO2e / number of (bathrooms)</t>
  </si>
  <si>
    <t>FF&amp;E – Kitchen (large)</t>
  </si>
  <si>
    <t>Recycled particle board cabinets, worktops and premium MDF frontals, with a stainless-steel sink and tap, appliances and tiling.</t>
  </si>
  <si>
    <t>kgCO2e / number of (kitchens)</t>
  </si>
  <si>
    <t>FF&amp;E – Kitchen (medium)</t>
  </si>
  <si>
    <t>Recycled particle board cabinets, frontals, and worktops, with a stainless-steel sink and tap, appliances and tiling</t>
  </si>
  <si>
    <t>FF&amp;E – Kitchen (small)</t>
  </si>
  <si>
    <t>FF&amp;E – WC</t>
  </si>
  <si>
    <t>kgCO2e / number of (WCs)</t>
  </si>
  <si>
    <t>Floor Finishes 1</t>
  </si>
  <si>
    <t>Floor finishes if unknown</t>
  </si>
  <si>
    <t>Heating – Apartments - ASHP: individual air source heat pump</t>
  </si>
  <si>
    <t>Heat source, DHW store, pipework, valves, controls and emitter</t>
  </si>
  <si>
    <t>Heating – Apartments - ComDH: district heating</t>
  </si>
  <si>
    <t>Heating – Apartments - ComGB: communal gas boiler / CHP</t>
  </si>
  <si>
    <t>Heating – Apartments - DElec: direct electric space heating and hot water</t>
  </si>
  <si>
    <t>Heating – Apartments - VRF: variable refrigerant flow system</t>
  </si>
  <si>
    <t>Heating – Houses - ASHP: individual air source heat pump</t>
  </si>
  <si>
    <t>Heating – Houses - DElec: direct electric space heating and hot water</t>
  </si>
  <si>
    <t>Heating – Houses - Gas: individual gas boiler</t>
  </si>
  <si>
    <t>Stairs – Timber</t>
  </si>
  <si>
    <t>Timber stairs per core per storey</t>
  </si>
  <si>
    <t>kgCO2e / number of (storeys per core)</t>
  </si>
  <si>
    <t>Wall Finishes 1</t>
  </si>
  <si>
    <t>Wall finishes if unknown</t>
  </si>
  <si>
    <t>Water system</t>
  </si>
  <si>
    <t>A5.1</t>
  </si>
  <si>
    <t>A5.2</t>
  </si>
  <si>
    <t>A5.3</t>
  </si>
  <si>
    <t>B5</t>
  </si>
  <si>
    <t>B6.1-3</t>
  </si>
  <si>
    <t>B7</t>
  </si>
  <si>
    <t>Total A1-A3 (Excl. Biogenic)</t>
  </si>
  <si>
    <t xml:space="preserve">Small Kitchen </t>
  </si>
  <si>
    <t>Cabinets, frontals, panels and plinths</t>
  </si>
  <si>
    <t>MDF Rails</t>
  </si>
  <si>
    <t>ZAMAC</t>
  </si>
  <si>
    <t xml:space="preserve">Plastic Legs </t>
  </si>
  <si>
    <t>Splashback</t>
  </si>
  <si>
    <t>Small kitchen</t>
  </si>
  <si>
    <t xml:space="preserve">Medium Kitchen </t>
  </si>
  <si>
    <t>Plastic Legs</t>
  </si>
  <si>
    <t>Glass Splashback</t>
  </si>
  <si>
    <t>Medium kitchen</t>
  </si>
  <si>
    <t xml:space="preserve">Large Kitchen </t>
  </si>
  <si>
    <t>Cabinet board</t>
  </si>
  <si>
    <t>Frontals, panels and plinths</t>
  </si>
  <si>
    <t>Large kitchen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</si>
</sst>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color theme="9" tint="-0.499984740745262"/>
      <name val="Arial"/>
      <family val="2"/>
    </font>
    <font>
      <i/>
      <sz val="10"/>
      <color rgb="FFFF0000"/>
      <name val="Arial"/>
      <family val="2"/>
    </font>
    <font>
      <u/>
      <sz val="10"/>
      <color theme="1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0"/>
      <color theme="0"/>
      <name val="Roboto"/>
    </font>
    <font>
      <sz val="10"/>
      <color theme="1"/>
      <name val="Roboto"/>
    </font>
  </fonts>
  <fills count="4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2" applyNumberFormat="0" applyAlignment="0" applyProtection="0"/>
    <xf numFmtId="0" fontId="1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9" fillId="35" borderId="5" applyNumberFormat="0" applyAlignment="0" applyProtection="0"/>
    <xf numFmtId="0" fontId="21" fillId="36" borderId="6" applyNumberForma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9" fillId="37" borderId="1" applyNumberFormat="0" applyBorder="0" applyAlignment="0" applyProtection="0"/>
    <xf numFmtId="0" fontId="19" fillId="38" borderId="0">
      <alignment vertical="center"/>
    </xf>
    <xf numFmtId="0" fontId="19" fillId="2" borderId="7" applyNumberFormat="0" applyAlignment="0" applyProtection="0"/>
    <xf numFmtId="0" fontId="18" fillId="9" borderId="3" applyNumberFormat="0" applyFont="0" applyAlignment="0" applyProtection="0"/>
    <xf numFmtId="0" fontId="24" fillId="39" borderId="8" applyNumberFormat="0" applyAlignment="0" applyProtection="0"/>
    <xf numFmtId="9" fontId="25" fillId="0" borderId="0" applyFont="0" applyFill="0" applyBorder="0" applyAlignment="0" applyProtection="0"/>
    <xf numFmtId="0" fontId="19" fillId="40" borderId="9" applyNumberFormat="0" applyProtection="0">
      <alignment vertical="center"/>
    </xf>
    <xf numFmtId="0" fontId="24" fillId="4" borderId="0" applyNumberFormat="0" applyBorder="0" applyAlignment="0" applyProtection="0"/>
    <xf numFmtId="0" fontId="11" fillId="0" borderId="0">
      <alignment vertical="center" wrapText="1"/>
    </xf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4" borderId="4" xfId="0" applyFill="1" applyBorder="1" applyAlignment="1">
      <alignment vertical="center"/>
    </xf>
    <xf numFmtId="0" fontId="0" fillId="34" borderId="4" xfId="0" applyFill="1" applyBorder="1" applyAlignment="1">
      <alignment horizontal="center" vertical="center"/>
    </xf>
    <xf numFmtId="0" fontId="0" fillId="34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1" fillId="3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top" wrapText="1"/>
    </xf>
    <xf numFmtId="4" fontId="11" fillId="0" borderId="4" xfId="0" applyNumberFormat="1" applyFont="1" applyBorder="1" applyAlignment="1">
      <alignment horizontal="left" vertical="top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26" fillId="41" borderId="4" xfId="0" applyFont="1" applyFill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6" fillId="41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9" fillId="4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43" borderId="4" xfId="0" applyFill="1" applyBorder="1" applyAlignment="1">
      <alignment vertical="center"/>
    </xf>
    <xf numFmtId="0" fontId="0" fillId="43" borderId="4" xfId="0" applyFill="1" applyBorder="1" applyAlignment="1">
      <alignment horizontal="center" vertical="center"/>
    </xf>
    <xf numFmtId="0" fontId="0" fillId="43" borderId="4" xfId="0" applyFill="1" applyBorder="1" applyAlignment="1">
      <alignment horizontal="center" vertical="center" wrapText="1"/>
    </xf>
    <xf numFmtId="0" fontId="0" fillId="44" borderId="4" xfId="0" applyFill="1" applyBorder="1" applyAlignment="1">
      <alignment horizontal="center" vertical="center"/>
    </xf>
    <xf numFmtId="0" fontId="11" fillId="43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</cellXfs>
  <cellStyles count="47">
    <cellStyle name="20% - Accent1" xfId="7" builtinId="30" customBuiltin="1"/>
    <cellStyle name="20% - Accent2" xfId="11" builtinId="34" customBuiltin="1"/>
    <cellStyle name="20% - Accent3" xfId="15" builtinId="38" customBuiltin="1"/>
    <cellStyle name="20% - Accent4" xfId="19" builtinId="42" customBuiltin="1"/>
    <cellStyle name="20% - Accent5" xfId="23" builtinId="46" customBuiltin="1"/>
    <cellStyle name="20% - Accent6" xfId="27" builtinId="50" customBuiltin="1"/>
    <cellStyle name="40% - Accent1" xfId="8" builtinId="31" customBuiltin="1"/>
    <cellStyle name="40% - Accent2" xfId="12" builtinId="35" customBuiltin="1"/>
    <cellStyle name="40% - Accent3" xfId="16" builtinId="39" customBuiltin="1"/>
    <cellStyle name="40% - Accent4" xfId="20" builtinId="43" customBuiltin="1"/>
    <cellStyle name="40% - Accent5" xfId="24" builtinId="47" customBuiltin="1"/>
    <cellStyle name="40% - Accent6" xfId="28" builtinId="51" customBuiltin="1"/>
    <cellStyle name="60% - Accent1" xfId="9" builtinId="32" customBuiltin="1"/>
    <cellStyle name="60% - Accent2" xfId="13" builtinId="36" customBuiltin="1"/>
    <cellStyle name="60% - Accent3" xfId="17" builtinId="40" customBuiltin="1"/>
    <cellStyle name="60% - Accent4" xfId="21" builtinId="44" customBuiltin="1"/>
    <cellStyle name="60% - Accent5" xfId="25" builtinId="48" customBuiltin="1"/>
    <cellStyle name="60% - Accent6" xfId="29" builtinId="52" customBuiltin="1"/>
    <cellStyle name="Accent1" xfId="6" builtinId="29" customBuiltin="1"/>
    <cellStyle name="Accent2" xfId="10" builtinId="33" customBuiltin="1"/>
    <cellStyle name="Accent3" xfId="14" builtinId="37" customBuiltin="1"/>
    <cellStyle name="Accent4" xfId="18" builtinId="41" customBuiltin="1"/>
    <cellStyle name="Accent5" xfId="22" builtinId="45" customBuiltin="1"/>
    <cellStyle name="Accent6" xfId="26" builtinId="49" customBuiltin="1"/>
    <cellStyle name="Bad" xfId="3" builtinId="27" customBuiltin="1"/>
    <cellStyle name="Calculation 2" xfId="32" xr:uid="{03296AC5-DE80-40DB-9B6A-9170753D00F3}"/>
    <cellStyle name="Calculation 3" xfId="31" xr:uid="{A27552EA-7BF6-490C-A169-A8AA933695C1}"/>
    <cellStyle name="Check Cell" xfId="5" builtinId="23" customBuiltin="1"/>
    <cellStyle name="Comma 2" xfId="34" xr:uid="{D7AD6D1D-B80A-4B87-B489-7E4F957EC2A6}"/>
    <cellStyle name="Comma 3" xfId="33" xr:uid="{300292D4-2E60-4353-9A0E-E90E4E9A0040}"/>
    <cellStyle name="Explanatory Text 2" xfId="35" xr:uid="{AE17FE7B-84D6-42B9-923E-B5D14C1CE567}"/>
    <cellStyle name="Followed Hyperlink" xfId="36" builtinId="9" customBuiltin="1"/>
    <cellStyle name="Good" xfId="2" builtinId="26" customBuiltin="1"/>
    <cellStyle name="Hyperlink" xfId="37" builtinId="8" customBuiltin="1"/>
    <cellStyle name="Input 2" xfId="38" xr:uid="{2B3A9B34-95BD-492A-96ED-80F8573A2508}"/>
    <cellStyle name="Input data" xfId="39" xr:uid="{670DAD50-DA3B-4B41-BEC3-E0DE4FA6751F}"/>
    <cellStyle name="Linked Cell 2" xfId="40" xr:uid="{21B3EA44-80D4-4544-AF3D-5ECC41A679E8}"/>
    <cellStyle name="Neutral" xfId="4" builtinId="28" customBuiltin="1"/>
    <cellStyle name="Normal" xfId="0" builtinId="0"/>
    <cellStyle name="Normal 2" xfId="30" xr:uid="{98DCD0FC-2F17-4090-843E-B31CE3668AE7}"/>
    <cellStyle name="Normal 4" xfId="46" xr:uid="{967F07C4-5A80-41C7-93F0-1A2407E40B80}"/>
    <cellStyle name="Note 2" xfId="41" xr:uid="{AE9D972B-D935-49D5-874F-434FEDDEE7B2}"/>
    <cellStyle name="Output 2" xfId="42" xr:uid="{FAB187A3-A6CC-4DEF-9E7A-9D41297B2599}"/>
    <cellStyle name="Percent 2" xfId="43" xr:uid="{3802A246-19FE-49FA-8CD3-A75F89ED1F47}"/>
    <cellStyle name="Selection" xfId="44" xr:uid="{BC53CAFD-F4E1-421B-82D0-5376229B4FBF}"/>
    <cellStyle name="Title" xfId="1" builtinId="15" customBuiltin="1"/>
    <cellStyle name="Warning Text 2" xfId="45" xr:uid="{19EB597B-95F9-40C4-A1AC-A8A2C9D10A39}"/>
  </cellStyles>
  <dxfs count="1"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1</xdr:rowOff>
    </xdr:from>
    <xdr:to>
      <xdr:col>17</xdr:col>
      <xdr:colOff>154730</xdr:colOff>
      <xdr:row>11</xdr:row>
      <xdr:rowOff>92076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484762-695A-4F6F-9CAA-EC2EFA007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5550" y="180976"/>
          <a:ext cx="2597891" cy="23050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18</xdr:col>
      <xdr:colOff>420766</xdr:colOff>
      <xdr:row>22</xdr:row>
      <xdr:rowOff>149227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C8A59-AF70-4447-A428-5B076963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15550" y="2724150"/>
          <a:ext cx="3479877" cy="19907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16</xdr:col>
      <xdr:colOff>226159</xdr:colOff>
      <xdr:row>43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C1CF0F-DD72-4FAD-9FF7-62AA2240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5550" y="5086350"/>
          <a:ext cx="2042257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407670</xdr:colOff>
      <xdr:row>3</xdr:row>
      <xdr:rowOff>116205</xdr:rowOff>
    </xdr:from>
    <xdr:to>
      <xdr:col>26</xdr:col>
      <xdr:colOff>158175</xdr:colOff>
      <xdr:row>21</xdr:row>
      <xdr:rowOff>32697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B7497-BCA3-4458-9F42-F0B81E45A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59890" y="5475605"/>
          <a:ext cx="8113455" cy="3616002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62</xdr:row>
      <xdr:rowOff>83466</xdr:rowOff>
    </xdr:from>
    <xdr:to>
      <xdr:col>19</xdr:col>
      <xdr:colOff>539715</xdr:colOff>
      <xdr:row>80</xdr:row>
      <xdr:rowOff>6140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784759-AAE7-4242-8438-8E9EED57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0" y="17093846"/>
          <a:ext cx="4866605" cy="3457084"/>
        </a:xfrm>
        <a:prstGeom prst="rect">
          <a:avLst/>
        </a:prstGeom>
      </xdr:spPr>
    </xdr:pic>
    <xdr:clientData/>
  </xdr:twoCellAnchor>
  <xdr:twoCellAnchor editAs="oneCell">
    <xdr:from>
      <xdr:col>27</xdr:col>
      <xdr:colOff>72390</xdr:colOff>
      <xdr:row>62</xdr:row>
      <xdr:rowOff>66554</xdr:rowOff>
    </xdr:from>
    <xdr:to>
      <xdr:col>34</xdr:col>
      <xdr:colOff>297180</xdr:colOff>
      <xdr:row>80</xdr:row>
      <xdr:rowOff>7399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325B8B-A3CB-4F38-834F-113D87E53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76840" y="17079474"/>
          <a:ext cx="4394200" cy="3472715"/>
        </a:xfrm>
        <a:prstGeom prst="rect">
          <a:avLst/>
        </a:prstGeom>
      </xdr:spPr>
    </xdr:pic>
    <xdr:clientData/>
  </xdr:twoCellAnchor>
  <xdr:twoCellAnchor editAs="oneCell">
    <xdr:from>
      <xdr:col>20</xdr:col>
      <xdr:colOff>36195</xdr:colOff>
      <xdr:row>62</xdr:row>
      <xdr:rowOff>73408</xdr:rowOff>
    </xdr:from>
    <xdr:to>
      <xdr:col>27</xdr:col>
      <xdr:colOff>74296</xdr:colOff>
      <xdr:row>80</xdr:row>
      <xdr:rowOff>82313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944291-529D-4060-AF5F-ACEA9E08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762345" y="17085058"/>
          <a:ext cx="4216401" cy="3542045"/>
        </a:xfrm>
        <a:prstGeom prst="rect">
          <a:avLst/>
        </a:prstGeom>
      </xdr:spPr>
    </xdr:pic>
    <xdr:clientData/>
  </xdr:twoCellAnchor>
  <xdr:twoCellAnchor editAs="oneCell">
    <xdr:from>
      <xdr:col>12</xdr:col>
      <xdr:colOff>419100</xdr:colOff>
      <xdr:row>31</xdr:row>
      <xdr:rowOff>140971</xdr:rowOff>
    </xdr:from>
    <xdr:to>
      <xdr:col>17</xdr:col>
      <xdr:colOff>234315</xdr:colOff>
      <xdr:row>50</xdr:row>
      <xdr:rowOff>3050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4471BA5-8E35-442D-9B0A-80C8C44F6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25943"/>
        <a:stretch>
          <a:fillRect/>
        </a:stretch>
      </xdr:blipFill>
      <xdr:spPr>
        <a:xfrm>
          <a:off x="14370050" y="11051541"/>
          <a:ext cx="2808605" cy="3753359"/>
        </a:xfrm>
        <a:prstGeom prst="rect">
          <a:avLst/>
        </a:prstGeom>
      </xdr:spPr>
    </xdr:pic>
    <xdr:clientData/>
  </xdr:twoCellAnchor>
  <xdr:twoCellAnchor editAs="oneCell">
    <xdr:from>
      <xdr:col>17</xdr:col>
      <xdr:colOff>276225</xdr:colOff>
      <xdr:row>31</xdr:row>
      <xdr:rowOff>104775</xdr:rowOff>
    </xdr:from>
    <xdr:to>
      <xdr:col>29</xdr:col>
      <xdr:colOff>539183</xdr:colOff>
      <xdr:row>49</xdr:row>
      <xdr:rowOff>311148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4BB8510-69D4-4CA9-855D-369BD4396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210405" y="11015345"/>
          <a:ext cx="7434648" cy="37369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amGraveley\AppData\Local\Microsoft\Windows\INetCache\Content.Outlook\ZQ12ZUW0\FHH_WLC_Conventions_v1_-_APPENDIX_C_Component_Benchmarks%20(002).xlsx" TargetMode="External"/><Relationship Id="rId1" Type="http://schemas.openxmlformats.org/officeDocument/2006/relationships/externalLinkPath" Target="file:///C:\Users\AdamGraveley\AppData\Local\Microsoft\Windows\INetCache\Content.Outlook\ZQ12ZUW0\FHH_WLC_Conventions_v1_-_APPENDIX_C_Component_Benchmarks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chmarks v0.1"/>
      <sheetName val="Materials Table"/>
      <sheetName val="MEP-TH-TM65.1"/>
      <sheetName val="MEP-Ap-TM65.1"/>
      <sheetName val="Bathroom &amp; WC"/>
      <sheetName val="Kitchen"/>
      <sheetName val="Electrical"/>
      <sheetName val="Water supply drainage"/>
      <sheetName val="Wall finishes"/>
    </sheetNames>
    <sheetDataSet>
      <sheetData sheetId="0"/>
      <sheetData sheetId="1">
        <row r="1">
          <cell r="A1" t="str">
            <v>Material_Product_Name</v>
          </cell>
          <cell r="B1" t="str">
            <v>Impact Factor ID (if from materials table)</v>
          </cell>
          <cell r="C1" t="str">
            <v>Material_Type</v>
          </cell>
          <cell r="D1" t="str">
            <v>Description</v>
          </cell>
          <cell r="E1" t="str">
            <v>Type (Collective EPD, ICE database, Other sources)</v>
          </cell>
          <cell r="F1" t="str">
            <v>Total carbon A1-A3 (incl. Biogenic) kgCO2e per declared unit</v>
          </cell>
          <cell r="G1" t="str">
            <v>Biogenic carbon kgCO2e per declared unit</v>
          </cell>
          <cell r="I1" t="str">
            <v>Declared unit</v>
          </cell>
          <cell r="J1" t="str">
            <v>Density (kg/m3)</v>
          </cell>
          <cell r="L1" t="str">
            <v>Total carbon A1-A3 (incl. Biogenic) kgCO2e per kg</v>
          </cell>
          <cell r="M1" t="str">
            <v>Biogenic carbon kgCO2e per kg</v>
          </cell>
          <cell r="N1" t="str">
            <v>Total carbon A1-A3 (excl. Biogenic) kgCO2e per kg</v>
          </cell>
        </row>
        <row r="2">
          <cell r="A2" t="str">
            <v>ABS</v>
          </cell>
          <cell r="C2" t="str">
            <v>Plastic</v>
          </cell>
          <cell r="D2" t="str">
            <v>Reference 'ABS' (row 831) ICE v2</v>
          </cell>
          <cell r="E2" t="str">
            <v>ICE database</v>
          </cell>
          <cell r="F2">
            <v>3.76</v>
          </cell>
          <cell r="G2">
            <v>0</v>
          </cell>
          <cell r="I2" t="str">
            <v>kg</v>
          </cell>
          <cell r="L2">
            <v>3.76</v>
          </cell>
          <cell r="M2">
            <v>0</v>
          </cell>
          <cell r="N2">
            <v>3.76</v>
          </cell>
        </row>
        <row r="3">
          <cell r="A3" t="str">
            <v>Acrylic</v>
          </cell>
          <cell r="C3" t="str">
            <v>Plastic</v>
          </cell>
          <cell r="D3" t="str">
            <v>Reference 'Polycarbonate' (row 839) ICE v2</v>
          </cell>
          <cell r="E3" t="str">
            <v>ICE database</v>
          </cell>
          <cell r="F3">
            <v>7.62</v>
          </cell>
          <cell r="G3">
            <v>0</v>
          </cell>
          <cell r="I3" t="str">
            <v>kg</v>
          </cell>
          <cell r="L3">
            <v>7.62</v>
          </cell>
          <cell r="M3">
            <v>0</v>
          </cell>
          <cell r="N3">
            <v>7.62</v>
          </cell>
        </row>
        <row r="4">
          <cell r="A4" t="str">
            <v>Vitreous China</v>
          </cell>
          <cell r="C4" t="str">
            <v>Ceramic</v>
          </cell>
          <cell r="D4" t="str">
            <v>Reference 'Sanitary Products' (row 258) ICE v2</v>
          </cell>
          <cell r="E4" t="str">
            <v>ICE database</v>
          </cell>
          <cell r="F4">
            <v>1.61</v>
          </cell>
          <cell r="G4">
            <v>0</v>
          </cell>
          <cell r="I4" t="str">
            <v>kg</v>
          </cell>
          <cell r="L4">
            <v>1.61</v>
          </cell>
          <cell r="M4">
            <v>0</v>
          </cell>
          <cell r="N4">
            <v>1.61</v>
          </cell>
        </row>
        <row r="5">
          <cell r="A5" t="str">
            <v>Tiles - Ceramic</v>
          </cell>
          <cell r="B5" t="str">
            <v>TIL-001</v>
          </cell>
          <cell r="C5" t="str">
            <v>Ceramic</v>
          </cell>
          <cell r="E5" t="str">
            <v>ICE database</v>
          </cell>
          <cell r="F5">
            <v>0.78</v>
          </cell>
          <cell r="G5">
            <v>0</v>
          </cell>
          <cell r="I5" t="str">
            <v>kg</v>
          </cell>
          <cell r="J5">
            <v>1400</v>
          </cell>
          <cell r="L5">
            <v>0.78</v>
          </cell>
          <cell r="M5">
            <v>0</v>
          </cell>
          <cell r="N5">
            <v>0.78</v>
          </cell>
        </row>
        <row r="6">
          <cell r="A6" t="str">
            <v>Steel - Galvanised</v>
          </cell>
          <cell r="B6" t="str">
            <v>STE-003</v>
          </cell>
          <cell r="C6" t="str">
            <v>Steel</v>
          </cell>
          <cell r="E6" t="str">
            <v>Other sources</v>
          </cell>
          <cell r="F6">
            <v>2.67</v>
          </cell>
          <cell r="G6">
            <v>0</v>
          </cell>
          <cell r="I6" t="str">
            <v>kg</v>
          </cell>
          <cell r="J6">
            <v>7850</v>
          </cell>
          <cell r="L6">
            <v>2.67</v>
          </cell>
          <cell r="M6">
            <v>0</v>
          </cell>
          <cell r="N6">
            <v>2.67</v>
          </cell>
        </row>
        <row r="7">
          <cell r="A7" t="str">
            <v>Brass</v>
          </cell>
          <cell r="D7" t="str">
            <v>Reference 'Brass, general' (row 118) ICE v3</v>
          </cell>
          <cell r="E7" t="str">
            <v>ICE database</v>
          </cell>
          <cell r="F7">
            <v>2.64</v>
          </cell>
          <cell r="G7">
            <v>0</v>
          </cell>
          <cell r="I7" t="str">
            <v>kg</v>
          </cell>
          <cell r="L7">
            <v>2.64</v>
          </cell>
          <cell r="M7">
            <v>0</v>
          </cell>
          <cell r="N7">
            <v>2.64</v>
          </cell>
        </row>
        <row r="8">
          <cell r="A8" t="str">
            <v>Ply - Hardwood</v>
          </cell>
          <cell r="C8" t="str">
            <v>Timber</v>
          </cell>
          <cell r="D8" t="str">
            <v>Reference TDUK</v>
          </cell>
          <cell r="E8" t="str">
            <v>Other sources</v>
          </cell>
          <cell r="F8">
            <v>-426</v>
          </cell>
          <cell r="G8">
            <v>-871</v>
          </cell>
          <cell r="I8" t="str">
            <v>m3</v>
          </cell>
          <cell r="J8">
            <v>507.5</v>
          </cell>
          <cell r="L8">
            <v>-0.83940886699507389</v>
          </cell>
          <cell r="M8">
            <v>-1.716256157635468</v>
          </cell>
          <cell r="N8">
            <v>0.88</v>
          </cell>
        </row>
        <row r="9">
          <cell r="A9" t="str">
            <v>EPD: Engineered Stone shower tray</v>
          </cell>
          <cell r="C9" t="str">
            <v>Composite</v>
          </cell>
          <cell r="D9" t="str">
            <v>representative EPD - https://www.environdec.com/library/epd10300</v>
          </cell>
          <cell r="E9" t="str">
            <v>Other sources</v>
          </cell>
          <cell r="F9">
            <v>1.4</v>
          </cell>
          <cell r="G9">
            <v>0</v>
          </cell>
          <cell r="I9" t="str">
            <v>kg</v>
          </cell>
          <cell r="L9">
            <v>1.4</v>
          </cell>
          <cell r="M9">
            <v>0</v>
          </cell>
          <cell r="N9">
            <v>1.4</v>
          </cell>
        </row>
        <row r="10">
          <cell r="A10" t="str">
            <v>EPD: Acryl Bathtub and Shower Tray Products</v>
          </cell>
          <cell r="C10" t="str">
            <v>Composite</v>
          </cell>
          <cell r="D10" t="str">
            <v>representative EPD - https://www.environdec.com/library/epd5322</v>
          </cell>
          <cell r="E10" t="str">
            <v>Other sources</v>
          </cell>
          <cell r="F10">
            <v>2.6</v>
          </cell>
          <cell r="G10">
            <v>0</v>
          </cell>
          <cell r="I10" t="str">
            <v>kg</v>
          </cell>
          <cell r="L10">
            <v>2.6</v>
          </cell>
          <cell r="M10">
            <v>0</v>
          </cell>
          <cell r="N10">
            <v>2.6</v>
          </cell>
        </row>
        <row r="11">
          <cell r="A11" t="str">
            <v>Electrical items - fridges and freezers</v>
          </cell>
          <cell r="C11" t="str">
            <v>Electrical items</v>
          </cell>
          <cell r="D11" t="str">
            <v>UK Gov factors 2023</v>
          </cell>
          <cell r="E11" t="str">
            <v>Other sources</v>
          </cell>
          <cell r="F11">
            <v>4.3633299999999995</v>
          </cell>
          <cell r="G11">
            <v>0</v>
          </cell>
          <cell r="I11" t="str">
            <v>kg</v>
          </cell>
          <cell r="L11">
            <v>4.3633299999999995</v>
          </cell>
          <cell r="M11">
            <v>0</v>
          </cell>
          <cell r="N11">
            <v>4.3600000000000003</v>
          </cell>
        </row>
        <row r="12">
          <cell r="A12" t="str">
            <v>Electrical items - large</v>
          </cell>
          <cell r="C12" t="str">
            <v>Electrical items</v>
          </cell>
          <cell r="D12" t="str">
            <v>UK Gov factors 2023</v>
          </cell>
          <cell r="E12" t="str">
            <v>Other sources</v>
          </cell>
          <cell r="F12">
            <v>3.2669999999999999</v>
          </cell>
          <cell r="G12">
            <v>0</v>
          </cell>
          <cell r="I12" t="str">
            <v>kg</v>
          </cell>
          <cell r="L12">
            <v>3.2669999999999999</v>
          </cell>
          <cell r="M12">
            <v>0</v>
          </cell>
          <cell r="N12">
            <v>3.27</v>
          </cell>
        </row>
        <row r="13">
          <cell r="A13" t="str">
            <v>Steel - Stainless</v>
          </cell>
          <cell r="B13" t="str">
            <v>STE-004</v>
          </cell>
          <cell r="C13" t="str">
            <v>Steel</v>
          </cell>
          <cell r="E13" t="str">
            <v>ICE database</v>
          </cell>
          <cell r="F13">
            <v>4.407</v>
          </cell>
          <cell r="G13">
            <v>0</v>
          </cell>
          <cell r="I13" t="str">
            <v>kg</v>
          </cell>
          <cell r="J13">
            <v>7850</v>
          </cell>
          <cell r="L13">
            <v>4.407</v>
          </cell>
          <cell r="M13">
            <v>0</v>
          </cell>
          <cell r="N13">
            <v>4.41</v>
          </cell>
        </row>
        <row r="14">
          <cell r="A14" t="str">
            <v>Aluminium</v>
          </cell>
          <cell r="C14" t="str">
            <v>Metal</v>
          </cell>
          <cell r="D14" t="str">
            <v>Reference 'Aluminium, general, European mix' (row 40) ICE v3</v>
          </cell>
          <cell r="E14" t="str">
            <v>ICE database</v>
          </cell>
          <cell r="F14">
            <v>6.67</v>
          </cell>
          <cell r="G14">
            <v>0</v>
          </cell>
          <cell r="I14" t="str">
            <v>kg</v>
          </cell>
          <cell r="L14">
            <v>6.67</v>
          </cell>
          <cell r="M14">
            <v>0</v>
          </cell>
          <cell r="N14">
            <v>6.67</v>
          </cell>
        </row>
        <row r="15">
          <cell r="A15" t="str">
            <v>MDF</v>
          </cell>
          <cell r="C15" t="str">
            <v>Timber</v>
          </cell>
          <cell r="D15" t="str">
            <v>Reference TDUK</v>
          </cell>
          <cell r="E15" t="str">
            <v>Other sources</v>
          </cell>
          <cell r="F15">
            <v>-669</v>
          </cell>
          <cell r="G15">
            <v>-1020</v>
          </cell>
          <cell r="I15" t="str">
            <v>m3</v>
          </cell>
          <cell r="J15">
            <v>756</v>
          </cell>
          <cell r="L15">
            <v>-0.88492063492063489</v>
          </cell>
          <cell r="M15">
            <v>-1.3492063492063493</v>
          </cell>
          <cell r="N15">
            <v>0.46</v>
          </cell>
        </row>
        <row r="16">
          <cell r="A16" t="str">
            <v>Chipboard</v>
          </cell>
          <cell r="C16" t="str">
            <v>Timber</v>
          </cell>
          <cell r="D16" t="str">
            <v>Reference TDUK</v>
          </cell>
          <cell r="E16" t="str">
            <v>Other sources</v>
          </cell>
          <cell r="F16">
            <v>-714</v>
          </cell>
          <cell r="G16">
            <v>-1009</v>
          </cell>
          <cell r="I16" t="str">
            <v>m3</v>
          </cell>
          <cell r="J16">
            <v>590</v>
          </cell>
          <cell r="L16">
            <v>-1.2101694915254237</v>
          </cell>
          <cell r="M16">
            <v>-1.7101694915254237</v>
          </cell>
          <cell r="N16">
            <v>0.5</v>
          </cell>
        </row>
        <row r="17">
          <cell r="A17" t="str">
            <v>Electrical items - small</v>
          </cell>
          <cell r="C17" t="str">
            <v>Electrical items</v>
          </cell>
          <cell r="D17" t="str">
            <v>UK Gov factors 2023</v>
          </cell>
          <cell r="E17" t="str">
            <v>Other sources</v>
          </cell>
          <cell r="F17">
            <v>5.6479999999999997</v>
          </cell>
          <cell r="G17">
            <v>0</v>
          </cell>
          <cell r="I17" t="str">
            <v>kg</v>
          </cell>
          <cell r="L17">
            <v>5.6479999999999997</v>
          </cell>
          <cell r="M17">
            <v>0</v>
          </cell>
          <cell r="N17">
            <v>5.65</v>
          </cell>
        </row>
        <row r="18">
          <cell r="A18" t="str">
            <v>Copper</v>
          </cell>
          <cell r="C18" t="str">
            <v>Metal</v>
          </cell>
          <cell r="D18" t="str">
            <v>Reference 'Copper, virgin' (row 618) ICE v2</v>
          </cell>
          <cell r="E18" t="str">
            <v>ICE database</v>
          </cell>
          <cell r="F18">
            <v>3.81</v>
          </cell>
          <cell r="G18">
            <v>0</v>
          </cell>
          <cell r="I18" t="str">
            <v>kg</v>
          </cell>
          <cell r="L18">
            <v>3.81</v>
          </cell>
          <cell r="M18">
            <v>0</v>
          </cell>
          <cell r="N18">
            <v>3.81</v>
          </cell>
        </row>
        <row r="19">
          <cell r="A19" t="str">
            <v>PVC, injection moulding</v>
          </cell>
          <cell r="C19" t="str">
            <v>Plastic</v>
          </cell>
          <cell r="D19" t="str">
            <v>Reference 'PVC, general' (row 848) ICE v2</v>
          </cell>
          <cell r="E19" t="str">
            <v>ICE database</v>
          </cell>
          <cell r="F19">
            <v>3.3</v>
          </cell>
          <cell r="G19">
            <v>0</v>
          </cell>
          <cell r="I19" t="str">
            <v>kg</v>
          </cell>
          <cell r="L19">
            <v>3.3</v>
          </cell>
          <cell r="M19">
            <v>0</v>
          </cell>
          <cell r="N19">
            <v>3.3</v>
          </cell>
        </row>
        <row r="20">
          <cell r="A20" t="str">
            <v>Urea Formaldehyde</v>
          </cell>
          <cell r="C20" t="str">
            <v>Plastic</v>
          </cell>
          <cell r="D20" t="str">
            <v>Reference 'Urea Formaldehyde' ICE v2</v>
          </cell>
          <cell r="E20" t="str">
            <v>ICE database</v>
          </cell>
          <cell r="F20">
            <v>2.76</v>
          </cell>
          <cell r="G20">
            <v>0</v>
          </cell>
          <cell r="I20" t="str">
            <v>kg</v>
          </cell>
          <cell r="L20">
            <v>2.76</v>
          </cell>
          <cell r="M20">
            <v>0</v>
          </cell>
          <cell r="N20">
            <v>2.76</v>
          </cell>
        </row>
        <row r="21">
          <cell r="A21" t="str">
            <v>Polycarbonate</v>
          </cell>
          <cell r="C21" t="str">
            <v>Plastic</v>
          </cell>
          <cell r="D21" t="str">
            <v>Reference 'Polycarbonate' (row 839) ICE v2</v>
          </cell>
          <cell r="E21" t="str">
            <v>ICE database</v>
          </cell>
          <cell r="F21">
            <v>7.62</v>
          </cell>
          <cell r="G21">
            <v>0</v>
          </cell>
          <cell r="I21" t="str">
            <v>kg</v>
          </cell>
          <cell r="L21">
            <v>7.62</v>
          </cell>
          <cell r="M21">
            <v>0</v>
          </cell>
          <cell r="N21">
            <v>7.62</v>
          </cell>
        </row>
        <row r="22">
          <cell r="A22" t="str">
            <v>Polypropylene</v>
          </cell>
          <cell r="B22" t="str">
            <v>PLA-004</v>
          </cell>
          <cell r="C22" t="str">
            <v>Plastic</v>
          </cell>
          <cell r="D22" t="str">
            <v>Reference 'Polypropylene, injection moulding' (row 841) ICE v2</v>
          </cell>
          <cell r="E22" t="str">
            <v>ICE database</v>
          </cell>
          <cell r="F22">
            <v>4.49</v>
          </cell>
          <cell r="G22">
            <v>0</v>
          </cell>
          <cell r="I22" t="str">
            <v>kg</v>
          </cell>
          <cell r="J22" t="str">
            <v>895-920</v>
          </cell>
          <cell r="L22">
            <v>4.49</v>
          </cell>
          <cell r="M22">
            <v>0</v>
          </cell>
          <cell r="N22">
            <v>4.49</v>
          </cell>
        </row>
        <row r="23">
          <cell r="A23" t="str">
            <v>PVC, pipe</v>
          </cell>
          <cell r="B23" t="str">
            <v>PLA-005</v>
          </cell>
          <cell r="C23" t="str">
            <v>Plastic</v>
          </cell>
          <cell r="D23" t="str">
            <v>Reference 'PVC, general' (row 848) ICE v2</v>
          </cell>
          <cell r="E23" t="str">
            <v>ICE database</v>
          </cell>
          <cell r="F23">
            <v>3.23</v>
          </cell>
          <cell r="G23">
            <v>0</v>
          </cell>
          <cell r="I23" t="str">
            <v>kg</v>
          </cell>
          <cell r="J23">
            <v>1380</v>
          </cell>
          <cell r="L23">
            <v>3.23</v>
          </cell>
          <cell r="M23">
            <v>0</v>
          </cell>
          <cell r="N23">
            <v>3.23</v>
          </cell>
        </row>
        <row r="24">
          <cell r="A24" t="str">
            <v>PVC</v>
          </cell>
          <cell r="C24" t="str">
            <v>Plastic</v>
          </cell>
          <cell r="E24" t="str">
            <v>ICE database</v>
          </cell>
          <cell r="F24">
            <v>3.1</v>
          </cell>
          <cell r="G24">
            <v>0</v>
          </cell>
          <cell r="I24" t="str">
            <v>kg</v>
          </cell>
          <cell r="L24">
            <v>3.1</v>
          </cell>
          <cell r="M24">
            <v>0</v>
          </cell>
          <cell r="N24">
            <v>3.1</v>
          </cell>
        </row>
        <row r="25">
          <cell r="A25" t="str">
            <v>Paint</v>
          </cell>
          <cell r="C25" t="str">
            <v>Other</v>
          </cell>
          <cell r="D25" t="str">
            <v>Reference 'waterborne paint' (row 807) ICE v2</v>
          </cell>
          <cell r="E25" t="str">
            <v>ICE database</v>
          </cell>
          <cell r="F25">
            <v>2.54</v>
          </cell>
          <cell r="G25">
            <v>0</v>
          </cell>
          <cell r="I25" t="str">
            <v>kg</v>
          </cell>
          <cell r="L25">
            <v>2.54</v>
          </cell>
          <cell r="M25">
            <v>0</v>
          </cell>
          <cell r="N25">
            <v>2.54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15B9-0764-46ED-99F1-E70D658DE7D6}">
  <sheetPr>
    <tabColor theme="7"/>
  </sheetPr>
  <dimension ref="A1:T23"/>
  <sheetViews>
    <sheetView tabSelected="1" zoomScaleNormal="100" workbookViewId="0">
      <selection activeCell="J13" sqref="J13"/>
    </sheetView>
  </sheetViews>
  <sheetFormatPr defaultColWidth="8.77734375" defaultRowHeight="14.4" x14ac:dyDescent="0.3"/>
  <cols>
    <col min="1" max="1" width="27.77734375" style="23" customWidth="1"/>
    <col min="2" max="2" width="35.88671875" style="34" customWidth="1"/>
    <col min="3" max="3" width="19" style="34" customWidth="1"/>
    <col min="4" max="4" width="3.21875" style="38" customWidth="1"/>
    <col min="5" max="20" width="15.88671875" style="23" customWidth="1"/>
    <col min="21" max="16384" width="8.77734375" style="22"/>
  </cols>
  <sheetData>
    <row r="1" spans="1:20" x14ac:dyDescent="0.3">
      <c r="A1" s="39" t="s">
        <v>183</v>
      </c>
    </row>
    <row r="2" spans="1:20" x14ac:dyDescent="0.3">
      <c r="A2" s="39" t="s">
        <v>0</v>
      </c>
    </row>
    <row r="4" spans="1:20" ht="28.8" x14ac:dyDescent="0.3">
      <c r="A4" s="44" t="s">
        <v>1</v>
      </c>
      <c r="B4" s="44" t="s">
        <v>21</v>
      </c>
      <c r="C4" s="44" t="s">
        <v>2</v>
      </c>
      <c r="E4" s="44" t="s">
        <v>223</v>
      </c>
      <c r="F4" s="44" t="s">
        <v>3</v>
      </c>
      <c r="G4" s="44" t="s">
        <v>217</v>
      </c>
      <c r="H4" s="44" t="s">
        <v>218</v>
      </c>
      <c r="I4" s="44" t="s">
        <v>219</v>
      </c>
      <c r="J4" s="44" t="s">
        <v>4</v>
      </c>
      <c r="K4" s="44" t="s">
        <v>5</v>
      </c>
      <c r="L4" s="44" t="s">
        <v>6</v>
      </c>
      <c r="M4" s="44" t="s">
        <v>7</v>
      </c>
      <c r="N4" s="44" t="s">
        <v>220</v>
      </c>
      <c r="O4" s="44" t="s">
        <v>221</v>
      </c>
      <c r="P4" s="44" t="s">
        <v>222</v>
      </c>
      <c r="Q4" s="44" t="s">
        <v>8</v>
      </c>
      <c r="R4" s="44" t="s">
        <v>9</v>
      </c>
      <c r="S4" s="44" t="s">
        <v>10</v>
      </c>
      <c r="T4" s="44" t="s">
        <v>11</v>
      </c>
    </row>
    <row r="5" spans="1:20" ht="28.8" x14ac:dyDescent="0.3">
      <c r="A5" s="47" t="s">
        <v>184</v>
      </c>
      <c r="B5" s="45" t="s">
        <v>185</v>
      </c>
      <c r="C5" s="45" t="s">
        <v>186</v>
      </c>
      <c r="E5" s="46">
        <v>500</v>
      </c>
      <c r="F5" s="46">
        <v>0</v>
      </c>
      <c r="G5" s="46">
        <v>0</v>
      </c>
      <c r="H5" s="46">
        <v>0</v>
      </c>
      <c r="I5" s="46">
        <v>0</v>
      </c>
      <c r="J5" s="46">
        <v>0</v>
      </c>
      <c r="K5" s="46">
        <v>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</row>
    <row r="6" spans="1:20" ht="43.2" x14ac:dyDescent="0.3">
      <c r="A6" s="47" t="s">
        <v>187</v>
      </c>
      <c r="B6" s="45" t="s">
        <v>188</v>
      </c>
      <c r="C6" s="45" t="s">
        <v>189</v>
      </c>
      <c r="E6" s="46">
        <v>11.3</v>
      </c>
      <c r="F6" s="46">
        <v>1</v>
      </c>
      <c r="G6" s="46">
        <v>0</v>
      </c>
      <c r="H6" s="46">
        <v>0</v>
      </c>
      <c r="I6" s="46">
        <v>1</v>
      </c>
      <c r="J6" s="46">
        <v>0</v>
      </c>
      <c r="K6" s="46">
        <v>0</v>
      </c>
      <c r="L6" s="46">
        <v>0</v>
      </c>
      <c r="M6" s="46">
        <v>16</v>
      </c>
      <c r="N6" s="46">
        <v>0</v>
      </c>
      <c r="O6" s="46">
        <v>0</v>
      </c>
      <c r="P6" s="46">
        <v>0</v>
      </c>
      <c r="Q6" s="46">
        <v>0</v>
      </c>
      <c r="R6" s="46">
        <v>0.5</v>
      </c>
      <c r="S6" s="46">
        <v>0.25</v>
      </c>
      <c r="T6" s="46">
        <v>0</v>
      </c>
    </row>
    <row r="7" spans="1:20" ht="28.8" x14ac:dyDescent="0.3">
      <c r="A7" s="47" t="s">
        <v>190</v>
      </c>
      <c r="B7" s="45" t="s">
        <v>12</v>
      </c>
      <c r="C7" s="45" t="s">
        <v>191</v>
      </c>
      <c r="E7" s="46">
        <v>222</v>
      </c>
      <c r="F7" s="46">
        <v>20</v>
      </c>
      <c r="G7" s="46">
        <v>0</v>
      </c>
      <c r="H7" s="46">
        <v>0</v>
      </c>
      <c r="I7" s="46">
        <v>20</v>
      </c>
      <c r="J7" s="46">
        <v>0</v>
      </c>
      <c r="K7" s="46">
        <v>0</v>
      </c>
      <c r="L7" s="46">
        <v>0</v>
      </c>
      <c r="M7" s="46">
        <v>268</v>
      </c>
      <c r="N7" s="46">
        <v>0</v>
      </c>
      <c r="O7" s="46">
        <v>0</v>
      </c>
      <c r="P7" s="46">
        <v>0</v>
      </c>
      <c r="Q7" s="46">
        <v>0</v>
      </c>
      <c r="R7" s="46">
        <v>5</v>
      </c>
      <c r="S7" s="46">
        <v>2.5</v>
      </c>
      <c r="T7" s="46">
        <v>0</v>
      </c>
    </row>
    <row r="8" spans="1:20" ht="57.6" x14ac:dyDescent="0.3">
      <c r="A8" s="47" t="s">
        <v>192</v>
      </c>
      <c r="B8" s="45" t="s">
        <v>193</v>
      </c>
      <c r="C8" s="45" t="s">
        <v>194</v>
      </c>
      <c r="E8" s="46">
        <v>2411</v>
      </c>
      <c r="F8" s="46">
        <v>24.884788360000002</v>
      </c>
      <c r="G8" s="46">
        <v>0</v>
      </c>
      <c r="H8" s="46">
        <v>0</v>
      </c>
      <c r="I8" s="46">
        <v>122.9686494</v>
      </c>
      <c r="J8" s="46">
        <v>0</v>
      </c>
      <c r="K8" s="46">
        <v>25.588534379999999</v>
      </c>
      <c r="L8" s="46">
        <v>6.3971335939999996</v>
      </c>
      <c r="M8" s="46">
        <v>5194.4397049999998</v>
      </c>
      <c r="N8" s="46">
        <v>0</v>
      </c>
      <c r="O8" s="46">
        <v>0</v>
      </c>
      <c r="P8" s="46">
        <v>0</v>
      </c>
      <c r="Q8" s="46">
        <v>0</v>
      </c>
      <c r="R8" s="46">
        <v>12.70794815</v>
      </c>
      <c r="S8" s="46">
        <v>14.878215000000001</v>
      </c>
      <c r="T8" s="46">
        <v>10.78025154</v>
      </c>
    </row>
    <row r="9" spans="1:20" ht="43.2" x14ac:dyDescent="0.3">
      <c r="A9" s="47" t="s">
        <v>195</v>
      </c>
      <c r="B9" s="45" t="s">
        <v>196</v>
      </c>
      <c r="C9" s="45" t="s">
        <v>194</v>
      </c>
      <c r="E9" s="46">
        <v>2302</v>
      </c>
      <c r="F9" s="46">
        <v>21.872981360000001</v>
      </c>
      <c r="G9" s="46">
        <v>0</v>
      </c>
      <c r="H9" s="46">
        <v>0</v>
      </c>
      <c r="I9" s="46">
        <v>117.2259202</v>
      </c>
      <c r="J9" s="46">
        <v>0</v>
      </c>
      <c r="K9" s="46">
        <v>24.410989019999999</v>
      </c>
      <c r="L9" s="46">
        <v>6.1027472539999996</v>
      </c>
      <c r="M9" s="46">
        <v>4949.6436549999999</v>
      </c>
      <c r="N9" s="46">
        <v>0</v>
      </c>
      <c r="O9" s="46">
        <v>0</v>
      </c>
      <c r="P9" s="46">
        <v>0</v>
      </c>
      <c r="Q9" s="46">
        <v>0</v>
      </c>
      <c r="R9" s="46">
        <v>11.16990464</v>
      </c>
      <c r="S9" s="46">
        <v>13.077503999999999</v>
      </c>
      <c r="T9" s="46">
        <v>9.4755172349999999</v>
      </c>
    </row>
    <row r="10" spans="1:20" ht="43.2" x14ac:dyDescent="0.3">
      <c r="A10" s="47" t="s">
        <v>197</v>
      </c>
      <c r="B10" s="45" t="s">
        <v>196</v>
      </c>
      <c r="C10" s="45" t="s">
        <v>194</v>
      </c>
      <c r="E10" s="46">
        <v>1750</v>
      </c>
      <c r="F10" s="46">
        <v>12.98708268</v>
      </c>
      <c r="G10" s="46">
        <v>0</v>
      </c>
      <c r="H10" s="46">
        <v>0</v>
      </c>
      <c r="I10" s="46">
        <v>88.762265099999993</v>
      </c>
      <c r="J10" s="46">
        <v>0</v>
      </c>
      <c r="K10" s="46">
        <v>18.517493479999999</v>
      </c>
      <c r="L10" s="46">
        <v>4.6293733689999996</v>
      </c>
      <c r="M10" s="46">
        <v>3743.5446700000002</v>
      </c>
      <c r="N10" s="46">
        <v>0</v>
      </c>
      <c r="O10" s="46">
        <v>0</v>
      </c>
      <c r="P10" s="46">
        <v>0</v>
      </c>
      <c r="Q10" s="46">
        <v>0</v>
      </c>
      <c r="R10" s="46">
        <v>6.6321308800000001</v>
      </c>
      <c r="S10" s="46">
        <v>7.7647680000000001</v>
      </c>
      <c r="T10" s="46">
        <v>5.6260883579999996</v>
      </c>
    </row>
    <row r="11" spans="1:20" ht="28.8" x14ac:dyDescent="0.3">
      <c r="A11" s="47" t="s">
        <v>198</v>
      </c>
      <c r="B11" s="45" t="s">
        <v>14</v>
      </c>
      <c r="C11" s="45" t="s">
        <v>199</v>
      </c>
      <c r="E11" s="46">
        <v>121</v>
      </c>
      <c r="F11" s="46">
        <v>10</v>
      </c>
      <c r="G11" s="46">
        <v>0</v>
      </c>
      <c r="H11" s="46">
        <v>0</v>
      </c>
      <c r="I11" s="46">
        <v>10</v>
      </c>
      <c r="J11" s="46">
        <v>0</v>
      </c>
      <c r="K11" s="46">
        <v>0</v>
      </c>
      <c r="L11" s="46">
        <v>0</v>
      </c>
      <c r="M11" s="46">
        <v>145</v>
      </c>
      <c r="N11" s="46">
        <v>0</v>
      </c>
      <c r="O11" s="46">
        <v>0</v>
      </c>
      <c r="P11" s="46">
        <v>0</v>
      </c>
      <c r="Q11" s="46">
        <v>0</v>
      </c>
      <c r="R11" s="46">
        <v>2.75</v>
      </c>
      <c r="S11" s="46">
        <v>1.5</v>
      </c>
      <c r="T11" s="46">
        <v>0</v>
      </c>
    </row>
    <row r="12" spans="1:20" x14ac:dyDescent="0.3">
      <c r="A12" s="47" t="s">
        <v>200</v>
      </c>
      <c r="B12" s="45" t="s">
        <v>201</v>
      </c>
      <c r="C12" s="45" t="s">
        <v>189</v>
      </c>
      <c r="E12" s="46">
        <v>7</v>
      </c>
      <c r="F12" s="46">
        <v>0.5</v>
      </c>
      <c r="G12" s="46">
        <v>0</v>
      </c>
      <c r="H12" s="46">
        <v>0</v>
      </c>
      <c r="I12" s="46">
        <v>0.35</v>
      </c>
      <c r="J12" s="46">
        <v>0</v>
      </c>
      <c r="K12" s="46">
        <v>0.4</v>
      </c>
      <c r="L12" s="46">
        <v>0.1</v>
      </c>
      <c r="M12" s="46">
        <v>40</v>
      </c>
      <c r="N12" s="46">
        <v>0</v>
      </c>
      <c r="O12" s="46">
        <v>0</v>
      </c>
      <c r="P12" s="46">
        <v>0</v>
      </c>
      <c r="Q12" s="46">
        <v>0</v>
      </c>
      <c r="R12" s="46">
        <v>1</v>
      </c>
      <c r="S12" s="46">
        <v>0.5</v>
      </c>
      <c r="T12" s="46">
        <v>0</v>
      </c>
    </row>
    <row r="13" spans="1:20" ht="43.2" x14ac:dyDescent="0.3">
      <c r="A13" s="47" t="s">
        <v>202</v>
      </c>
      <c r="B13" s="45" t="s">
        <v>203</v>
      </c>
      <c r="C13" s="45" t="s">
        <v>189</v>
      </c>
      <c r="E13" s="46">
        <v>24.617647059999999</v>
      </c>
      <c r="F13" s="46">
        <v>2.3823529410000002</v>
      </c>
      <c r="G13" s="46">
        <v>0</v>
      </c>
      <c r="H13" s="46">
        <v>0</v>
      </c>
      <c r="I13" s="46">
        <v>2.1891891889999999</v>
      </c>
      <c r="J13" s="46">
        <v>29</v>
      </c>
      <c r="K13" s="46">
        <v>0</v>
      </c>
      <c r="L13" s="46">
        <v>0</v>
      </c>
      <c r="M13" s="46">
        <v>66</v>
      </c>
      <c r="N13" s="46">
        <v>0</v>
      </c>
      <c r="O13" s="46">
        <v>0</v>
      </c>
      <c r="P13" s="46">
        <v>0</v>
      </c>
      <c r="Q13" s="46">
        <v>0</v>
      </c>
      <c r="R13" s="46">
        <v>1</v>
      </c>
      <c r="S13" s="46">
        <v>0.5</v>
      </c>
      <c r="T13" s="46">
        <v>0</v>
      </c>
    </row>
    <row r="14" spans="1:20" ht="28.8" x14ac:dyDescent="0.3">
      <c r="A14" s="47" t="s">
        <v>204</v>
      </c>
      <c r="B14" s="45" t="s">
        <v>203</v>
      </c>
      <c r="C14" s="45" t="s">
        <v>189</v>
      </c>
      <c r="E14" s="46">
        <v>22.79411765</v>
      </c>
      <c r="F14" s="46">
        <v>2.2058823529999998</v>
      </c>
      <c r="G14" s="46">
        <v>0</v>
      </c>
      <c r="H14" s="46">
        <v>0</v>
      </c>
      <c r="I14" s="46">
        <v>2.0270270269999999</v>
      </c>
      <c r="J14" s="46">
        <v>0</v>
      </c>
      <c r="K14" s="46">
        <v>0</v>
      </c>
      <c r="L14" s="46">
        <v>0</v>
      </c>
      <c r="M14" s="46">
        <v>65</v>
      </c>
      <c r="N14" s="46">
        <v>0</v>
      </c>
      <c r="O14" s="46">
        <v>0</v>
      </c>
      <c r="P14" s="46">
        <v>0</v>
      </c>
      <c r="Q14" s="46">
        <v>0</v>
      </c>
      <c r="R14" s="46">
        <v>0.73333333300000003</v>
      </c>
      <c r="S14" s="46">
        <v>0.366666667</v>
      </c>
      <c r="T14" s="46">
        <v>0</v>
      </c>
    </row>
    <row r="15" spans="1:20" ht="43.2" x14ac:dyDescent="0.3">
      <c r="A15" s="47" t="s">
        <v>205</v>
      </c>
      <c r="B15" s="45" t="s">
        <v>203</v>
      </c>
      <c r="C15" s="45" t="s">
        <v>189</v>
      </c>
      <c r="E15" s="46">
        <v>26.441176469999998</v>
      </c>
      <c r="F15" s="46">
        <v>2.5588235290000001</v>
      </c>
      <c r="G15" s="46">
        <v>0</v>
      </c>
      <c r="H15" s="46">
        <v>0</v>
      </c>
      <c r="I15" s="46">
        <v>2.3513513509999999</v>
      </c>
      <c r="J15" s="46">
        <v>0</v>
      </c>
      <c r="K15" s="46">
        <v>0</v>
      </c>
      <c r="L15" s="46">
        <v>0</v>
      </c>
      <c r="M15" s="46">
        <v>89</v>
      </c>
      <c r="N15" s="46">
        <v>0</v>
      </c>
      <c r="O15" s="46">
        <v>0</v>
      </c>
      <c r="P15" s="46">
        <v>0</v>
      </c>
      <c r="Q15" s="46">
        <v>0</v>
      </c>
      <c r="R15" s="46">
        <v>1</v>
      </c>
      <c r="S15" s="46">
        <v>0.5</v>
      </c>
      <c r="T15" s="46">
        <v>0</v>
      </c>
    </row>
    <row r="16" spans="1:20" ht="43.2" x14ac:dyDescent="0.3">
      <c r="A16" s="47" t="s">
        <v>206</v>
      </c>
      <c r="B16" s="45" t="s">
        <v>203</v>
      </c>
      <c r="C16" s="45" t="s">
        <v>189</v>
      </c>
      <c r="E16" s="46">
        <v>8.2058823529999998</v>
      </c>
      <c r="F16" s="46">
        <v>0.79411764699999998</v>
      </c>
      <c r="G16" s="46">
        <v>0</v>
      </c>
      <c r="H16" s="46">
        <v>0</v>
      </c>
      <c r="I16" s="46">
        <v>0.72972972999999997</v>
      </c>
      <c r="J16" s="46">
        <v>0</v>
      </c>
      <c r="K16" s="46">
        <v>0</v>
      </c>
      <c r="L16" s="46">
        <v>0</v>
      </c>
      <c r="M16" s="46">
        <v>26</v>
      </c>
      <c r="N16" s="46">
        <v>0</v>
      </c>
      <c r="O16" s="46">
        <v>0</v>
      </c>
      <c r="P16" s="46">
        <v>0</v>
      </c>
      <c r="Q16" s="46">
        <v>0</v>
      </c>
      <c r="R16" s="46">
        <v>0.86666666699999995</v>
      </c>
      <c r="S16" s="46">
        <v>0.43333333299999999</v>
      </c>
      <c r="T16" s="46">
        <v>0</v>
      </c>
    </row>
    <row r="17" spans="1:20" ht="43.2" x14ac:dyDescent="0.3">
      <c r="A17" s="47" t="s">
        <v>207</v>
      </c>
      <c r="B17" s="45" t="s">
        <v>203</v>
      </c>
      <c r="C17" s="45" t="s">
        <v>189</v>
      </c>
      <c r="E17" s="46">
        <v>22.79411765</v>
      </c>
      <c r="F17" s="46">
        <v>2.2058823529999998</v>
      </c>
      <c r="G17" s="46">
        <v>0</v>
      </c>
      <c r="H17" s="46">
        <v>0</v>
      </c>
      <c r="I17" s="46">
        <v>2.0270270269999999</v>
      </c>
      <c r="J17" s="46">
        <v>733</v>
      </c>
      <c r="K17" s="46">
        <v>0</v>
      </c>
      <c r="L17" s="46">
        <v>0</v>
      </c>
      <c r="M17" s="46">
        <v>73</v>
      </c>
      <c r="N17" s="46">
        <v>0</v>
      </c>
      <c r="O17" s="46">
        <v>0</v>
      </c>
      <c r="P17" s="46">
        <v>0</v>
      </c>
      <c r="Q17" s="46">
        <v>0</v>
      </c>
      <c r="R17" s="46">
        <v>1</v>
      </c>
      <c r="S17" s="46">
        <v>0.5</v>
      </c>
      <c r="T17" s="46">
        <v>0</v>
      </c>
    </row>
    <row r="18" spans="1:20" ht="43.2" x14ac:dyDescent="0.3">
      <c r="A18" s="47" t="s">
        <v>208</v>
      </c>
      <c r="B18" s="45" t="s">
        <v>203</v>
      </c>
      <c r="C18" s="45" t="s">
        <v>189</v>
      </c>
      <c r="E18" s="46">
        <v>15.5</v>
      </c>
      <c r="F18" s="46">
        <v>1.5</v>
      </c>
      <c r="G18" s="46">
        <v>0</v>
      </c>
      <c r="H18" s="46">
        <v>0</v>
      </c>
      <c r="I18" s="46">
        <v>1.3783783780000001</v>
      </c>
      <c r="J18" s="46">
        <v>18</v>
      </c>
      <c r="K18" s="46">
        <v>0</v>
      </c>
      <c r="L18" s="46">
        <v>0</v>
      </c>
      <c r="M18" s="46">
        <v>46</v>
      </c>
      <c r="N18" s="46">
        <v>0</v>
      </c>
      <c r="O18" s="46">
        <v>0</v>
      </c>
      <c r="P18" s="46">
        <v>0</v>
      </c>
      <c r="Q18" s="46">
        <v>0</v>
      </c>
      <c r="R18" s="46">
        <v>0.53333333299999997</v>
      </c>
      <c r="S18" s="46">
        <v>0.26666666700000002</v>
      </c>
      <c r="T18" s="46">
        <v>0</v>
      </c>
    </row>
    <row r="19" spans="1:20" ht="43.2" x14ac:dyDescent="0.3">
      <c r="A19" s="47" t="s">
        <v>209</v>
      </c>
      <c r="B19" s="45" t="s">
        <v>203</v>
      </c>
      <c r="C19" s="45" t="s">
        <v>189</v>
      </c>
      <c r="E19" s="46">
        <v>6.3823529409999997</v>
      </c>
      <c r="F19" s="46">
        <v>0.61764705900000005</v>
      </c>
      <c r="G19" s="46">
        <v>0</v>
      </c>
      <c r="H19" s="46">
        <v>0</v>
      </c>
      <c r="I19" s="46">
        <v>0.56756756799999997</v>
      </c>
      <c r="J19" s="46">
        <v>0</v>
      </c>
      <c r="K19" s="46">
        <v>0</v>
      </c>
      <c r="L19" s="46">
        <v>0</v>
      </c>
      <c r="M19" s="46">
        <v>19</v>
      </c>
      <c r="N19" s="46">
        <v>0</v>
      </c>
      <c r="O19" s="46">
        <v>0</v>
      </c>
      <c r="P19" s="46">
        <v>0</v>
      </c>
      <c r="Q19" s="46">
        <v>0</v>
      </c>
      <c r="R19" s="46">
        <v>0.133333333</v>
      </c>
      <c r="S19" s="46">
        <v>6.6666666999999999E-2</v>
      </c>
      <c r="T19" s="46">
        <v>0</v>
      </c>
    </row>
    <row r="20" spans="1:20" ht="28.8" x14ac:dyDescent="0.3">
      <c r="A20" s="47" t="s">
        <v>210</v>
      </c>
      <c r="B20" s="45" t="s">
        <v>203</v>
      </c>
      <c r="C20" s="45" t="s">
        <v>189</v>
      </c>
      <c r="E20" s="46">
        <v>13.676470589999999</v>
      </c>
      <c r="F20" s="46">
        <v>1.3235294120000001</v>
      </c>
      <c r="G20" s="46">
        <v>0</v>
      </c>
      <c r="H20" s="46">
        <v>0</v>
      </c>
      <c r="I20" s="46">
        <v>1.2162162160000001</v>
      </c>
      <c r="J20" s="46">
        <v>0</v>
      </c>
      <c r="K20" s="46">
        <v>0</v>
      </c>
      <c r="L20" s="46">
        <v>0</v>
      </c>
      <c r="M20" s="46">
        <v>36</v>
      </c>
      <c r="N20" s="46">
        <v>0</v>
      </c>
      <c r="O20" s="46">
        <v>0</v>
      </c>
      <c r="P20" s="46">
        <v>0</v>
      </c>
      <c r="Q20" s="46">
        <v>0</v>
      </c>
      <c r="R20" s="46">
        <v>0.53333333299999997</v>
      </c>
      <c r="S20" s="46">
        <v>0.26666666700000002</v>
      </c>
      <c r="T20" s="46">
        <v>0</v>
      </c>
    </row>
    <row r="21" spans="1:20" ht="28.8" x14ac:dyDescent="0.3">
      <c r="A21" s="47" t="s">
        <v>211</v>
      </c>
      <c r="B21" s="45" t="s">
        <v>212</v>
      </c>
      <c r="C21" s="45" t="s">
        <v>213</v>
      </c>
      <c r="E21" s="46">
        <v>303.7</v>
      </c>
      <c r="F21" s="46">
        <v>27</v>
      </c>
      <c r="G21" s="46">
        <v>0</v>
      </c>
      <c r="H21" s="46">
        <v>0</v>
      </c>
      <c r="I21" s="46">
        <v>27</v>
      </c>
      <c r="J21" s="46">
        <v>0</v>
      </c>
      <c r="K21" s="46">
        <v>0</v>
      </c>
      <c r="L21" s="46">
        <v>0</v>
      </c>
      <c r="M21" s="46">
        <v>367.7</v>
      </c>
      <c r="N21" s="46">
        <v>0</v>
      </c>
      <c r="O21" s="46">
        <v>0</v>
      </c>
      <c r="P21" s="46">
        <v>0</v>
      </c>
      <c r="Q21" s="46">
        <v>0</v>
      </c>
      <c r="R21" s="46">
        <v>6.67</v>
      </c>
      <c r="S21" s="46">
        <v>3.33</v>
      </c>
      <c r="T21" s="46">
        <v>0</v>
      </c>
    </row>
    <row r="22" spans="1:20" x14ac:dyDescent="0.3">
      <c r="A22" s="47" t="s">
        <v>214</v>
      </c>
      <c r="B22" s="45" t="s">
        <v>215</v>
      </c>
      <c r="C22" s="45" t="s">
        <v>189</v>
      </c>
      <c r="E22" s="46">
        <v>5</v>
      </c>
      <c r="F22" s="46">
        <v>0.5</v>
      </c>
      <c r="G22" s="46">
        <v>0</v>
      </c>
      <c r="H22" s="46">
        <v>0</v>
      </c>
      <c r="I22" s="46">
        <v>0.3</v>
      </c>
      <c r="J22" s="46">
        <v>0</v>
      </c>
      <c r="K22" s="46">
        <v>0.3</v>
      </c>
      <c r="L22" s="46">
        <v>0.1</v>
      </c>
      <c r="M22" s="46">
        <v>33</v>
      </c>
      <c r="N22" s="46">
        <v>0</v>
      </c>
      <c r="O22" s="46">
        <v>0</v>
      </c>
      <c r="P22" s="46">
        <v>0</v>
      </c>
      <c r="Q22" s="46">
        <v>0</v>
      </c>
      <c r="R22" s="46">
        <v>0.7</v>
      </c>
      <c r="S22" s="46">
        <v>0.35</v>
      </c>
      <c r="T22" s="46">
        <v>0</v>
      </c>
    </row>
    <row r="23" spans="1:20" x14ac:dyDescent="0.3">
      <c r="A23" s="47" t="s">
        <v>216</v>
      </c>
      <c r="B23" s="45" t="s">
        <v>17</v>
      </c>
      <c r="C23" s="45" t="s">
        <v>189</v>
      </c>
      <c r="E23" s="46">
        <v>6.6</v>
      </c>
      <c r="F23" s="46">
        <v>0.5</v>
      </c>
      <c r="G23" s="46">
        <v>0</v>
      </c>
      <c r="H23" s="46">
        <v>0</v>
      </c>
      <c r="I23" s="46">
        <v>0.5</v>
      </c>
      <c r="J23" s="46">
        <v>0</v>
      </c>
      <c r="K23" s="46">
        <v>0</v>
      </c>
      <c r="L23" s="46">
        <v>0</v>
      </c>
      <c r="M23" s="46">
        <v>9.5</v>
      </c>
      <c r="N23" s="46">
        <v>0</v>
      </c>
      <c r="O23" s="46">
        <v>0</v>
      </c>
      <c r="P23" s="46">
        <v>0</v>
      </c>
      <c r="Q23" s="46">
        <v>0</v>
      </c>
      <c r="R23" s="46">
        <v>0.4</v>
      </c>
      <c r="S23" s="46">
        <v>0.2</v>
      </c>
      <c r="T23" s="46">
        <v>0</v>
      </c>
    </row>
  </sheetData>
  <phoneticPr fontId="3" type="noConversion"/>
  <conditionalFormatting sqref="E5:T2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CD1E-5C2C-4C4F-9C34-7E276AB452CF}">
  <sheetPr>
    <tabColor theme="7"/>
  </sheetPr>
  <dimension ref="A1:V31"/>
  <sheetViews>
    <sheetView zoomScale="85" zoomScaleNormal="85" workbookViewId="0">
      <pane xSplit="3" topLeftCell="D1" activePane="topRight" state="frozen"/>
      <selection pane="topRight" activeCell="A7" sqref="A7:XFD7"/>
    </sheetView>
  </sheetViews>
  <sheetFormatPr defaultColWidth="8.77734375" defaultRowHeight="14.4" x14ac:dyDescent="0.3"/>
  <cols>
    <col min="1" max="1" width="37.21875" style="9" bestFit="1" customWidth="1"/>
    <col min="2" max="2" width="18.21875" style="11" customWidth="1"/>
    <col min="3" max="3" width="23.21875" style="11" customWidth="1"/>
    <col min="4" max="4" width="35.44140625" style="11" customWidth="1"/>
    <col min="5" max="5" width="23.5546875" style="11" customWidth="1"/>
    <col min="6" max="6" width="31.21875" style="11" customWidth="1"/>
    <col min="7" max="7" width="21.5546875" style="11" customWidth="1"/>
    <col min="8" max="8" width="28" style="11" hidden="1" customWidth="1"/>
    <col min="9" max="9" width="16.21875" style="11" customWidth="1"/>
    <col min="10" max="10" width="15.21875" style="11" customWidth="1"/>
    <col min="11" max="11" width="7.77734375" style="11" customWidth="1"/>
    <col min="12" max="17" width="15.77734375" style="11" customWidth="1"/>
    <col min="18" max="18" width="19.44140625" style="11" customWidth="1"/>
    <col min="19" max="19" width="15.77734375" style="11" customWidth="1"/>
    <col min="20" max="20" width="32.77734375" style="11" customWidth="1"/>
    <col min="21" max="21" width="29.5546875" style="11" customWidth="1"/>
    <col min="22" max="22" width="24.44140625" style="11" customWidth="1"/>
    <col min="23" max="16384" width="8.77734375" style="9"/>
  </cols>
  <sheetData>
    <row r="1" spans="1:22" s="12" customFormat="1" ht="62.4" x14ac:dyDescent="0.3">
      <c r="A1" s="14" t="s">
        <v>18</v>
      </c>
      <c r="B1" s="15" t="s">
        <v>19</v>
      </c>
      <c r="C1" s="15" t="s">
        <v>20</v>
      </c>
      <c r="D1" s="15" t="s">
        <v>21</v>
      </c>
      <c r="E1" s="15" t="s">
        <v>22</v>
      </c>
      <c r="F1" s="15" t="s">
        <v>23</v>
      </c>
      <c r="G1" s="15" t="s">
        <v>24</v>
      </c>
      <c r="H1" s="15"/>
      <c r="I1" s="15" t="s">
        <v>25</v>
      </c>
      <c r="J1" s="15" t="s">
        <v>26</v>
      </c>
      <c r="K1" s="13"/>
      <c r="L1" s="20" t="s">
        <v>27</v>
      </c>
      <c r="M1" s="20" t="s">
        <v>28</v>
      </c>
      <c r="N1" s="20" t="s">
        <v>29</v>
      </c>
      <c r="O1" s="13"/>
      <c r="P1" s="13"/>
      <c r="Q1" s="13"/>
      <c r="R1" s="13"/>
      <c r="S1" s="13"/>
      <c r="T1" s="13"/>
      <c r="U1" s="13"/>
      <c r="V1" s="13"/>
    </row>
    <row r="2" spans="1:22" s="10" customFormat="1" ht="15.6" x14ac:dyDescent="0.3">
      <c r="A2" s="16" t="s">
        <v>30</v>
      </c>
      <c r="B2" s="17"/>
      <c r="C2" s="17" t="s">
        <v>31</v>
      </c>
      <c r="D2" s="17" t="s">
        <v>32</v>
      </c>
      <c r="E2" s="17" t="s">
        <v>33</v>
      </c>
      <c r="F2" s="17">
        <v>3.76</v>
      </c>
      <c r="G2" s="17">
        <v>0</v>
      </c>
      <c r="H2" s="17"/>
      <c r="I2" s="17" t="s">
        <v>34</v>
      </c>
      <c r="J2" s="17"/>
      <c r="K2" s="8"/>
      <c r="L2" s="21">
        <f t="shared" ref="L2:L6" si="0">IF(I2="kg", F2, F2/J2)</f>
        <v>3.76</v>
      </c>
      <c r="M2" s="21">
        <f t="shared" ref="M2:M6" si="1">IF(I2="kg", G2, G2/J2)</f>
        <v>0</v>
      </c>
      <c r="N2" s="21">
        <f t="shared" ref="N2:N7" si="2">ROUND(L2-M2,2)</f>
        <v>3.76</v>
      </c>
      <c r="O2" s="8"/>
      <c r="P2" s="8"/>
      <c r="Q2" s="8"/>
      <c r="R2" s="8"/>
      <c r="S2" s="8"/>
      <c r="T2" s="8"/>
      <c r="U2" s="8"/>
      <c r="V2" s="8"/>
    </row>
    <row r="3" spans="1:22" s="10" customFormat="1" ht="31.2" x14ac:dyDescent="0.3">
      <c r="A3" s="16" t="s">
        <v>35</v>
      </c>
      <c r="B3" s="17"/>
      <c r="C3" s="17" t="s">
        <v>31</v>
      </c>
      <c r="D3" s="17" t="s">
        <v>36</v>
      </c>
      <c r="E3" s="8" t="s">
        <v>33</v>
      </c>
      <c r="F3" s="17">
        <v>7.62</v>
      </c>
      <c r="G3" s="17">
        <v>0</v>
      </c>
      <c r="H3" s="17"/>
      <c r="I3" s="17" t="s">
        <v>34</v>
      </c>
      <c r="J3" s="17"/>
      <c r="K3" s="8"/>
      <c r="L3" s="21">
        <f t="shared" si="0"/>
        <v>7.62</v>
      </c>
      <c r="M3" s="21">
        <f t="shared" si="1"/>
        <v>0</v>
      </c>
      <c r="N3" s="21">
        <f t="shared" si="2"/>
        <v>7.62</v>
      </c>
      <c r="O3" s="8"/>
      <c r="P3" s="8"/>
      <c r="Q3" s="8"/>
      <c r="R3" s="8"/>
      <c r="S3" s="8"/>
      <c r="T3" s="8"/>
      <c r="U3" s="8"/>
      <c r="V3" s="8"/>
    </row>
    <row r="4" spans="1:22" s="10" customFormat="1" ht="31.2" x14ac:dyDescent="0.3">
      <c r="A4" s="16" t="s">
        <v>37</v>
      </c>
      <c r="B4" s="17"/>
      <c r="C4" s="17" t="s">
        <v>38</v>
      </c>
      <c r="D4" s="17" t="s">
        <v>39</v>
      </c>
      <c r="E4" s="17" t="s">
        <v>33</v>
      </c>
      <c r="F4" s="17">
        <v>1.61</v>
      </c>
      <c r="G4" s="17">
        <v>0</v>
      </c>
      <c r="H4" s="17"/>
      <c r="I4" s="17" t="s">
        <v>34</v>
      </c>
      <c r="J4" s="17"/>
      <c r="K4" s="8"/>
      <c r="L4" s="21">
        <f t="shared" si="0"/>
        <v>1.61</v>
      </c>
      <c r="M4" s="21">
        <f t="shared" si="1"/>
        <v>0</v>
      </c>
      <c r="N4" s="21">
        <f t="shared" si="2"/>
        <v>1.61</v>
      </c>
      <c r="O4" s="8"/>
      <c r="P4" s="8"/>
      <c r="Q4" s="8"/>
      <c r="R4" s="8"/>
      <c r="S4" s="8"/>
      <c r="T4" s="8"/>
      <c r="U4" s="8"/>
      <c r="V4" s="8"/>
    </row>
    <row r="5" spans="1:22" s="10" customFormat="1" ht="15.6" x14ac:dyDescent="0.3">
      <c r="A5" s="18" t="s">
        <v>40</v>
      </c>
      <c r="B5" s="19" t="s">
        <v>41</v>
      </c>
      <c r="C5" s="19" t="s">
        <v>38</v>
      </c>
      <c r="D5" s="19"/>
      <c r="E5" s="19" t="s">
        <v>33</v>
      </c>
      <c r="F5" s="19">
        <v>0.78</v>
      </c>
      <c r="G5" s="19">
        <v>0</v>
      </c>
      <c r="H5" s="19"/>
      <c r="I5" s="19" t="s">
        <v>34</v>
      </c>
      <c r="J5" s="19">
        <v>1400</v>
      </c>
      <c r="K5" s="8"/>
      <c r="L5" s="21">
        <f t="shared" si="0"/>
        <v>0.78</v>
      </c>
      <c r="M5" s="21">
        <f t="shared" si="1"/>
        <v>0</v>
      </c>
      <c r="N5" s="21">
        <f t="shared" si="2"/>
        <v>0.78</v>
      </c>
      <c r="O5" s="8"/>
      <c r="P5" s="8"/>
      <c r="Q5" s="8"/>
      <c r="R5" s="8"/>
      <c r="S5" s="8"/>
      <c r="T5" s="8"/>
      <c r="U5" s="8"/>
      <c r="V5" s="8"/>
    </row>
    <row r="6" spans="1:22" s="10" customFormat="1" ht="15.6" x14ac:dyDescent="0.3">
      <c r="A6" s="18" t="s">
        <v>42</v>
      </c>
      <c r="B6" s="19" t="s">
        <v>43</v>
      </c>
      <c r="C6" s="19" t="s">
        <v>44</v>
      </c>
      <c r="D6" s="19"/>
      <c r="E6" s="19" t="s">
        <v>45</v>
      </c>
      <c r="F6" s="19">
        <v>2.67</v>
      </c>
      <c r="G6" s="19">
        <v>0</v>
      </c>
      <c r="H6" s="19"/>
      <c r="I6" s="19" t="s">
        <v>34</v>
      </c>
      <c r="J6" s="19">
        <v>7850</v>
      </c>
      <c r="K6" s="8"/>
      <c r="L6" s="21">
        <f t="shared" si="0"/>
        <v>2.67</v>
      </c>
      <c r="M6" s="21">
        <f t="shared" si="1"/>
        <v>0</v>
      </c>
      <c r="N6" s="21">
        <f t="shared" si="2"/>
        <v>2.67</v>
      </c>
      <c r="O6" s="8"/>
      <c r="P6" s="8"/>
      <c r="Q6" s="8"/>
      <c r="R6" s="8"/>
      <c r="S6" s="8"/>
      <c r="T6" s="8"/>
      <c r="U6" s="8"/>
      <c r="V6" s="8"/>
    </row>
    <row r="7" spans="1:22" s="10" customFormat="1" ht="31.2" x14ac:dyDescent="0.3">
      <c r="A7" s="16" t="s">
        <v>46</v>
      </c>
      <c r="B7" s="17"/>
      <c r="C7" s="17"/>
      <c r="D7" s="17" t="s">
        <v>47</v>
      </c>
      <c r="E7" s="17" t="s">
        <v>33</v>
      </c>
      <c r="F7" s="17">
        <v>2.64</v>
      </c>
      <c r="G7" s="19">
        <v>0</v>
      </c>
      <c r="H7" s="19"/>
      <c r="I7" s="19" t="s">
        <v>34</v>
      </c>
      <c r="J7" s="17"/>
      <c r="K7" s="8"/>
      <c r="L7" s="21">
        <f>IF(I7="kg", F7, F7/J7)</f>
        <v>2.64</v>
      </c>
      <c r="M7" s="21">
        <f>IF(I7="kg", G7, G7/J7)</f>
        <v>0</v>
      </c>
      <c r="N7" s="21">
        <f t="shared" si="2"/>
        <v>2.64</v>
      </c>
      <c r="O7" s="8"/>
      <c r="P7" s="8"/>
      <c r="Q7" s="8"/>
      <c r="R7" s="8"/>
      <c r="S7" s="8"/>
      <c r="T7" s="8"/>
      <c r="U7" s="8"/>
      <c r="V7" s="8"/>
    </row>
    <row r="8" spans="1:22" s="10" customFormat="1" ht="15.6" x14ac:dyDescent="0.3">
      <c r="A8" s="16" t="s">
        <v>48</v>
      </c>
      <c r="B8" s="17"/>
      <c r="C8" s="17" t="s">
        <v>49</v>
      </c>
      <c r="D8" s="17" t="s">
        <v>50</v>
      </c>
      <c r="E8" s="17" t="s">
        <v>45</v>
      </c>
      <c r="F8" s="17">
        <v>-426</v>
      </c>
      <c r="G8" s="17">
        <v>-871</v>
      </c>
      <c r="H8" s="17"/>
      <c r="I8" s="17" t="s">
        <v>51</v>
      </c>
      <c r="J8" s="17">
        <v>507.5</v>
      </c>
      <c r="K8" s="8"/>
      <c r="L8" s="21">
        <f>IF(I8="kg", F8, F8/J8)</f>
        <v>-0.83940886699507389</v>
      </c>
      <c r="M8" s="21">
        <f>IF(I8="kg", G8, G8/J8)</f>
        <v>-1.716256157635468</v>
      </c>
      <c r="N8" s="21">
        <f>ROUND(L8-M8,2)</f>
        <v>0.88</v>
      </c>
      <c r="O8" s="8"/>
      <c r="P8" s="8"/>
      <c r="Q8" s="8"/>
      <c r="R8" s="8"/>
      <c r="S8" s="8"/>
      <c r="T8" s="8"/>
      <c r="U8" s="8"/>
      <c r="V8" s="8"/>
    </row>
    <row r="9" spans="1:22" s="10" customFormat="1" ht="46.8" x14ac:dyDescent="0.3">
      <c r="A9" s="16" t="s">
        <v>52</v>
      </c>
      <c r="B9" s="17"/>
      <c r="C9" s="17" t="s">
        <v>53</v>
      </c>
      <c r="D9" s="17" t="s">
        <v>54</v>
      </c>
      <c r="E9" s="17" t="s">
        <v>45</v>
      </c>
      <c r="F9" s="17">
        <v>1.4</v>
      </c>
      <c r="G9" s="17">
        <v>0</v>
      </c>
      <c r="H9" s="17"/>
      <c r="I9" s="17" t="s">
        <v>34</v>
      </c>
      <c r="J9" s="17"/>
      <c r="K9" s="8"/>
      <c r="L9" s="21">
        <f t="shared" ref="L9:L12" si="3">IF(I9="kg", F9, F9/J9)</f>
        <v>1.4</v>
      </c>
      <c r="M9" s="21">
        <f t="shared" ref="M9:M12" si="4">IF(I9="kg", G9, G9/J9)</f>
        <v>0</v>
      </c>
      <c r="N9" s="21">
        <f t="shared" ref="N9:N12" si="5">ROUND(L9-M9,2)</f>
        <v>1.4</v>
      </c>
      <c r="O9" s="8"/>
      <c r="P9" s="8"/>
      <c r="Q9" s="8"/>
      <c r="R9" s="8"/>
      <c r="S9" s="8"/>
      <c r="T9" s="8"/>
      <c r="U9" s="8"/>
      <c r="V9" s="8"/>
    </row>
    <row r="10" spans="1:22" s="10" customFormat="1" ht="46.8" x14ac:dyDescent="0.3">
      <c r="A10" s="17" t="s">
        <v>55</v>
      </c>
      <c r="B10" s="17"/>
      <c r="C10" s="17" t="s">
        <v>53</v>
      </c>
      <c r="D10" s="17" t="s">
        <v>56</v>
      </c>
      <c r="E10" s="17" t="s">
        <v>45</v>
      </c>
      <c r="F10" s="17">
        <v>2.6</v>
      </c>
      <c r="G10" s="17">
        <v>0</v>
      </c>
      <c r="H10" s="17"/>
      <c r="I10" s="17" t="s">
        <v>34</v>
      </c>
      <c r="J10" s="17"/>
      <c r="K10" s="8"/>
      <c r="L10" s="21">
        <f t="shared" si="3"/>
        <v>2.6</v>
      </c>
      <c r="M10" s="21">
        <f t="shared" si="4"/>
        <v>0</v>
      </c>
      <c r="N10" s="21">
        <f t="shared" si="5"/>
        <v>2.6</v>
      </c>
      <c r="O10" s="8"/>
      <c r="P10" s="8"/>
      <c r="Q10" s="8"/>
      <c r="R10" s="8"/>
      <c r="S10" s="8"/>
      <c r="T10" s="8"/>
      <c r="U10" s="8"/>
      <c r="V10" s="8"/>
    </row>
    <row r="11" spans="1:22" s="10" customFormat="1" ht="15.6" x14ac:dyDescent="0.3">
      <c r="A11" s="16" t="s">
        <v>57</v>
      </c>
      <c r="B11" s="17"/>
      <c r="C11" s="17" t="s">
        <v>58</v>
      </c>
      <c r="D11" s="17" t="s">
        <v>59</v>
      </c>
      <c r="E11" s="17" t="s">
        <v>45</v>
      </c>
      <c r="F11" s="35">
        <f>4363.33/1000</f>
        <v>4.3633299999999995</v>
      </c>
      <c r="G11" s="17">
        <v>0</v>
      </c>
      <c r="H11" s="17"/>
      <c r="I11" s="17" t="s">
        <v>34</v>
      </c>
      <c r="J11" s="17"/>
      <c r="K11" s="8"/>
      <c r="L11" s="21">
        <f t="shared" si="3"/>
        <v>4.3633299999999995</v>
      </c>
      <c r="M11" s="21">
        <f t="shared" si="4"/>
        <v>0</v>
      </c>
      <c r="N11" s="21">
        <f t="shared" si="5"/>
        <v>4.3600000000000003</v>
      </c>
      <c r="O11" s="8"/>
      <c r="P11" s="8"/>
      <c r="Q11" s="8"/>
      <c r="R11" s="8"/>
      <c r="S11" s="8"/>
      <c r="T11" s="8"/>
      <c r="U11" s="8"/>
      <c r="V11" s="8"/>
    </row>
    <row r="12" spans="1:22" s="10" customFormat="1" ht="15.6" x14ac:dyDescent="0.3">
      <c r="A12" s="16" t="s">
        <v>60</v>
      </c>
      <c r="B12" s="17"/>
      <c r="C12" s="17" t="s">
        <v>58</v>
      </c>
      <c r="D12" s="17" t="s">
        <v>59</v>
      </c>
      <c r="E12" s="17" t="s">
        <v>45</v>
      </c>
      <c r="F12" s="35">
        <f>3267/1000</f>
        <v>3.2669999999999999</v>
      </c>
      <c r="G12" s="17">
        <v>0</v>
      </c>
      <c r="H12" s="17"/>
      <c r="I12" s="17" t="s">
        <v>34</v>
      </c>
      <c r="J12" s="17"/>
      <c r="K12" s="8"/>
      <c r="L12" s="21">
        <f t="shared" si="3"/>
        <v>3.2669999999999999</v>
      </c>
      <c r="M12" s="21">
        <f t="shared" si="4"/>
        <v>0</v>
      </c>
      <c r="N12" s="21">
        <f t="shared" si="5"/>
        <v>3.27</v>
      </c>
      <c r="O12" s="8"/>
      <c r="P12" s="8"/>
      <c r="Q12" s="8"/>
      <c r="R12" s="8"/>
      <c r="S12" s="8"/>
      <c r="T12" s="8"/>
      <c r="U12" s="8"/>
      <c r="V12" s="8"/>
    </row>
    <row r="13" spans="1:22" s="10" customFormat="1" ht="15.6" x14ac:dyDescent="0.3">
      <c r="A13" s="18" t="s">
        <v>61</v>
      </c>
      <c r="B13" s="19" t="s">
        <v>62</v>
      </c>
      <c r="C13" s="19" t="s">
        <v>44</v>
      </c>
      <c r="D13" s="19"/>
      <c r="E13" s="19" t="s">
        <v>33</v>
      </c>
      <c r="F13" s="19">
        <v>4.407</v>
      </c>
      <c r="G13" s="19">
        <v>0</v>
      </c>
      <c r="H13" s="19"/>
      <c r="I13" s="19" t="s">
        <v>34</v>
      </c>
      <c r="J13" s="19">
        <v>7850</v>
      </c>
      <c r="K13" s="8"/>
      <c r="L13" s="21">
        <f t="shared" ref="L13" si="6">IF(I13="kg", F13, F13/J13)</f>
        <v>4.407</v>
      </c>
      <c r="M13" s="21">
        <f t="shared" ref="M13" si="7">IF(I13="kg", G13, G13/J13)</f>
        <v>0</v>
      </c>
      <c r="N13" s="21">
        <f t="shared" ref="N13" si="8">ROUND(L13-M13,2)</f>
        <v>4.41</v>
      </c>
      <c r="O13" s="8"/>
      <c r="P13" s="8"/>
      <c r="Q13" s="8"/>
      <c r="R13" s="8"/>
      <c r="S13" s="8"/>
      <c r="T13" s="8"/>
      <c r="U13" s="8"/>
      <c r="V13" s="8"/>
    </row>
    <row r="14" spans="1:22" s="10" customFormat="1" ht="31.2" x14ac:dyDescent="0.3">
      <c r="A14" s="16" t="s">
        <v>63</v>
      </c>
      <c r="B14" s="17"/>
      <c r="C14" s="17" t="s">
        <v>64</v>
      </c>
      <c r="D14" s="17" t="s">
        <v>65</v>
      </c>
      <c r="E14" s="17" t="s">
        <v>33</v>
      </c>
      <c r="F14" s="17">
        <v>6.67</v>
      </c>
      <c r="G14" s="17">
        <v>0</v>
      </c>
      <c r="H14" s="17"/>
      <c r="I14" s="17" t="s">
        <v>34</v>
      </c>
      <c r="J14" s="17"/>
      <c r="K14" s="8"/>
      <c r="L14" s="21">
        <f t="shared" ref="L14:L21" si="9">IF(I14="kg", F14, F14/J14)</f>
        <v>6.67</v>
      </c>
      <c r="M14" s="21">
        <f t="shared" ref="M14:M21" si="10">IF(I14="kg", G14, G14/J14)</f>
        <v>0</v>
      </c>
      <c r="N14" s="21">
        <f t="shared" ref="N14:N21" si="11">ROUND(L14-M14,2)</f>
        <v>6.67</v>
      </c>
      <c r="O14" s="8"/>
      <c r="P14" s="8"/>
      <c r="Q14" s="8"/>
      <c r="R14" s="8"/>
      <c r="S14" s="8"/>
      <c r="T14" s="8"/>
      <c r="U14" s="8"/>
      <c r="V14" s="8"/>
    </row>
    <row r="15" spans="1:22" s="10" customFormat="1" ht="15.6" x14ac:dyDescent="0.3">
      <c r="A15" s="16" t="s">
        <v>66</v>
      </c>
      <c r="B15" s="17"/>
      <c r="C15" s="17" t="s">
        <v>49</v>
      </c>
      <c r="D15" s="17" t="s">
        <v>50</v>
      </c>
      <c r="E15" s="17" t="s">
        <v>45</v>
      </c>
      <c r="F15" s="17">
        <v>-669</v>
      </c>
      <c r="G15" s="17">
        <v>-1020</v>
      </c>
      <c r="H15" s="17"/>
      <c r="I15" s="17" t="s">
        <v>51</v>
      </c>
      <c r="J15" s="17">
        <v>756</v>
      </c>
      <c r="K15" s="8"/>
      <c r="L15" s="21">
        <f>IF(I15="kg", F15, F15/J15)</f>
        <v>-0.88492063492063489</v>
      </c>
      <c r="M15" s="21">
        <f t="shared" si="10"/>
        <v>-1.3492063492063493</v>
      </c>
      <c r="N15" s="21">
        <f t="shared" si="11"/>
        <v>0.46</v>
      </c>
      <c r="O15" s="8"/>
      <c r="P15" s="8"/>
      <c r="Q15" s="8"/>
      <c r="R15" s="8"/>
      <c r="S15" s="8"/>
      <c r="T15" s="8"/>
      <c r="U15" s="8"/>
      <c r="V15" s="8"/>
    </row>
    <row r="16" spans="1:22" s="10" customFormat="1" ht="15.6" x14ac:dyDescent="0.3">
      <c r="A16" s="16" t="s">
        <v>67</v>
      </c>
      <c r="B16" s="17"/>
      <c r="C16" s="17" t="s">
        <v>49</v>
      </c>
      <c r="D16" s="17" t="s">
        <v>50</v>
      </c>
      <c r="E16" s="17" t="s">
        <v>45</v>
      </c>
      <c r="F16" s="17">
        <v>-714</v>
      </c>
      <c r="G16" s="17">
        <v>-1009</v>
      </c>
      <c r="H16" s="17"/>
      <c r="I16" s="17" t="s">
        <v>51</v>
      </c>
      <c r="J16" s="17">
        <v>590</v>
      </c>
      <c r="K16" s="8"/>
      <c r="L16" s="21">
        <f t="shared" si="9"/>
        <v>-1.2101694915254237</v>
      </c>
      <c r="M16" s="21">
        <f t="shared" si="10"/>
        <v>-1.7101694915254237</v>
      </c>
      <c r="N16" s="21">
        <f t="shared" si="11"/>
        <v>0.5</v>
      </c>
      <c r="O16" s="8"/>
      <c r="P16" s="8"/>
      <c r="Q16" s="8"/>
      <c r="R16" s="8"/>
      <c r="S16" s="8"/>
      <c r="T16" s="8"/>
      <c r="U16" s="8"/>
      <c r="V16" s="8"/>
    </row>
    <row r="17" spans="1:22" s="10" customFormat="1" ht="15.6" x14ac:dyDescent="0.3">
      <c r="A17" s="16" t="s">
        <v>68</v>
      </c>
      <c r="B17" s="17"/>
      <c r="C17" s="17" t="s">
        <v>58</v>
      </c>
      <c r="D17" s="17" t="s">
        <v>59</v>
      </c>
      <c r="E17" s="17" t="s">
        <v>45</v>
      </c>
      <c r="F17" s="35">
        <f>5648/1000</f>
        <v>5.6479999999999997</v>
      </c>
      <c r="G17" s="17">
        <v>0</v>
      </c>
      <c r="H17" s="17"/>
      <c r="I17" s="17" t="s">
        <v>34</v>
      </c>
      <c r="J17" s="17"/>
      <c r="K17" s="8"/>
      <c r="L17" s="21">
        <f t="shared" si="9"/>
        <v>5.6479999999999997</v>
      </c>
      <c r="M17" s="21">
        <f t="shared" si="10"/>
        <v>0</v>
      </c>
      <c r="N17" s="21">
        <f t="shared" si="11"/>
        <v>5.65</v>
      </c>
      <c r="O17" s="8"/>
      <c r="P17" s="8"/>
      <c r="Q17" s="8"/>
      <c r="R17" s="8"/>
      <c r="S17" s="8"/>
      <c r="T17" s="8"/>
      <c r="U17" s="8"/>
      <c r="V17" s="8"/>
    </row>
    <row r="18" spans="1:22" s="10" customFormat="1" ht="31.2" x14ac:dyDescent="0.3">
      <c r="A18" s="16" t="s">
        <v>69</v>
      </c>
      <c r="B18" s="17"/>
      <c r="C18" s="17" t="s">
        <v>64</v>
      </c>
      <c r="D18" s="17" t="s">
        <v>70</v>
      </c>
      <c r="E18" s="17" t="s">
        <v>33</v>
      </c>
      <c r="F18" s="17">
        <v>3.81</v>
      </c>
      <c r="G18" s="17">
        <v>0</v>
      </c>
      <c r="H18" s="17"/>
      <c r="I18" s="17" t="s">
        <v>34</v>
      </c>
      <c r="J18" s="17"/>
      <c r="K18" s="8"/>
      <c r="L18" s="21">
        <f t="shared" si="9"/>
        <v>3.81</v>
      </c>
      <c r="M18" s="21">
        <f t="shared" si="10"/>
        <v>0</v>
      </c>
      <c r="N18" s="21">
        <f t="shared" si="11"/>
        <v>3.81</v>
      </c>
      <c r="O18" s="8"/>
      <c r="P18" s="8"/>
      <c r="Q18" s="8"/>
      <c r="R18" s="8"/>
      <c r="S18" s="8"/>
      <c r="T18" s="8"/>
      <c r="U18" s="8"/>
      <c r="V18" s="8"/>
    </row>
    <row r="19" spans="1:22" s="10" customFormat="1" ht="31.2" x14ac:dyDescent="0.3">
      <c r="A19" s="16" t="s">
        <v>71</v>
      </c>
      <c r="B19" s="17"/>
      <c r="C19" s="17" t="s">
        <v>31</v>
      </c>
      <c r="D19" s="17" t="s">
        <v>72</v>
      </c>
      <c r="E19" s="17" t="s">
        <v>33</v>
      </c>
      <c r="F19" s="17">
        <v>3.3</v>
      </c>
      <c r="G19" s="17">
        <v>0</v>
      </c>
      <c r="H19" s="17"/>
      <c r="I19" s="17" t="s">
        <v>34</v>
      </c>
      <c r="J19" s="17"/>
      <c r="K19" s="8"/>
      <c r="L19" s="21">
        <f t="shared" si="9"/>
        <v>3.3</v>
      </c>
      <c r="M19" s="21">
        <f t="shared" si="10"/>
        <v>0</v>
      </c>
      <c r="N19" s="21">
        <f t="shared" si="11"/>
        <v>3.3</v>
      </c>
      <c r="O19" s="8"/>
      <c r="P19" s="8"/>
      <c r="Q19" s="8"/>
      <c r="R19" s="8"/>
      <c r="S19" s="8"/>
      <c r="T19" s="8"/>
      <c r="U19" s="8"/>
      <c r="V19" s="8"/>
    </row>
    <row r="20" spans="1:22" s="10" customFormat="1" ht="31.2" x14ac:dyDescent="0.3">
      <c r="A20" s="16" t="s">
        <v>73</v>
      </c>
      <c r="B20" s="17"/>
      <c r="C20" s="17" t="s">
        <v>31</v>
      </c>
      <c r="D20" s="17" t="s">
        <v>74</v>
      </c>
      <c r="E20" s="17" t="s">
        <v>33</v>
      </c>
      <c r="F20" s="17">
        <v>2.76</v>
      </c>
      <c r="G20" s="17">
        <v>0</v>
      </c>
      <c r="H20" s="17"/>
      <c r="I20" s="17" t="s">
        <v>34</v>
      </c>
      <c r="J20" s="17"/>
      <c r="K20" s="8"/>
      <c r="L20" s="21">
        <f t="shared" si="9"/>
        <v>2.76</v>
      </c>
      <c r="M20" s="21">
        <f t="shared" si="10"/>
        <v>0</v>
      </c>
      <c r="N20" s="21">
        <f t="shared" si="11"/>
        <v>2.76</v>
      </c>
      <c r="O20" s="8"/>
      <c r="P20" s="8"/>
      <c r="Q20" s="8"/>
      <c r="R20" s="8"/>
      <c r="S20" s="8"/>
      <c r="T20" s="8"/>
      <c r="U20" s="8"/>
      <c r="V20" s="8"/>
    </row>
    <row r="21" spans="1:22" s="10" customFormat="1" ht="31.2" x14ac:dyDescent="0.3">
      <c r="A21" s="16" t="s">
        <v>75</v>
      </c>
      <c r="B21" s="17"/>
      <c r="C21" s="17" t="s">
        <v>31</v>
      </c>
      <c r="D21" s="17" t="s">
        <v>36</v>
      </c>
      <c r="E21" s="17" t="s">
        <v>33</v>
      </c>
      <c r="F21" s="17">
        <v>7.62</v>
      </c>
      <c r="G21" s="17">
        <v>0</v>
      </c>
      <c r="H21" s="17"/>
      <c r="I21" s="17" t="s">
        <v>34</v>
      </c>
      <c r="J21" s="17"/>
      <c r="K21" s="8"/>
      <c r="L21" s="21">
        <f t="shared" si="9"/>
        <v>7.62</v>
      </c>
      <c r="M21" s="21">
        <f t="shared" si="10"/>
        <v>0</v>
      </c>
      <c r="N21" s="21">
        <f t="shared" si="11"/>
        <v>7.62</v>
      </c>
      <c r="O21" s="8"/>
      <c r="P21" s="8"/>
      <c r="Q21" s="8"/>
      <c r="R21" s="8"/>
      <c r="S21" s="8"/>
      <c r="T21" s="8"/>
      <c r="U21" s="8"/>
      <c r="V21" s="8"/>
    </row>
    <row r="22" spans="1:22" s="10" customFormat="1" ht="31.2" x14ac:dyDescent="0.3">
      <c r="A22" s="16" t="s">
        <v>76</v>
      </c>
      <c r="B22" s="19" t="s">
        <v>77</v>
      </c>
      <c r="C22" s="19" t="s">
        <v>31</v>
      </c>
      <c r="D22" s="17" t="s">
        <v>78</v>
      </c>
      <c r="E22" s="19" t="s">
        <v>33</v>
      </c>
      <c r="F22" s="19">
        <v>4.49</v>
      </c>
      <c r="G22" s="19">
        <v>0</v>
      </c>
      <c r="H22" s="19"/>
      <c r="I22" s="19" t="s">
        <v>34</v>
      </c>
      <c r="J22" s="19" t="s">
        <v>79</v>
      </c>
      <c r="K22" s="8"/>
      <c r="L22" s="21">
        <f t="shared" ref="L22:L23" si="12">IF(I22="kg", F22, F22/J22)</f>
        <v>4.49</v>
      </c>
      <c r="M22" s="21">
        <f t="shared" ref="M22:M23" si="13">IF(I22="kg", G22, G22/J22)</f>
        <v>0</v>
      </c>
      <c r="N22" s="21">
        <f t="shared" ref="N22:N23" si="14">ROUND(L22-M22,2)</f>
        <v>4.49</v>
      </c>
      <c r="O22" s="8"/>
      <c r="P22" s="8"/>
      <c r="Q22" s="8"/>
      <c r="R22" s="8"/>
      <c r="S22" s="8"/>
      <c r="T22" s="8"/>
      <c r="U22" s="8"/>
      <c r="V22" s="8"/>
    </row>
    <row r="23" spans="1:22" s="10" customFormat="1" ht="31.2" x14ac:dyDescent="0.3">
      <c r="A23" s="16" t="s">
        <v>80</v>
      </c>
      <c r="B23" s="19" t="s">
        <v>81</v>
      </c>
      <c r="C23" s="19" t="s">
        <v>31</v>
      </c>
      <c r="D23" s="17" t="s">
        <v>72</v>
      </c>
      <c r="E23" s="19" t="s">
        <v>33</v>
      </c>
      <c r="F23" s="19">
        <v>3.23</v>
      </c>
      <c r="G23" s="19">
        <v>0</v>
      </c>
      <c r="H23" s="19"/>
      <c r="I23" s="19" t="s">
        <v>34</v>
      </c>
      <c r="J23" s="19">
        <v>1380</v>
      </c>
      <c r="K23" s="8"/>
      <c r="L23" s="21">
        <f t="shared" si="12"/>
        <v>3.23</v>
      </c>
      <c r="M23" s="21">
        <f t="shared" si="13"/>
        <v>0</v>
      </c>
      <c r="N23" s="21">
        <f t="shared" si="14"/>
        <v>3.23</v>
      </c>
      <c r="O23" s="8"/>
      <c r="P23" s="8"/>
      <c r="Q23" s="8"/>
      <c r="R23" s="8"/>
      <c r="S23" s="8"/>
      <c r="T23" s="8"/>
      <c r="U23" s="8"/>
      <c r="V23" s="8"/>
    </row>
    <row r="24" spans="1:22" s="10" customFormat="1" ht="15.6" x14ac:dyDescent="0.3">
      <c r="A24" s="16" t="s">
        <v>82</v>
      </c>
      <c r="B24" s="17"/>
      <c r="C24" s="17" t="s">
        <v>31</v>
      </c>
      <c r="D24" s="17"/>
      <c r="E24" s="17" t="s">
        <v>33</v>
      </c>
      <c r="F24" s="17">
        <v>3.1</v>
      </c>
      <c r="G24" s="17">
        <v>0</v>
      </c>
      <c r="H24" s="17"/>
      <c r="I24" s="17" t="s">
        <v>34</v>
      </c>
      <c r="J24" s="17"/>
      <c r="K24" s="8"/>
      <c r="L24" s="21">
        <f t="shared" ref="L24:L25" si="15">IF(I24="kg", F24, F24/J24)</f>
        <v>3.1</v>
      </c>
      <c r="M24" s="21">
        <f t="shared" ref="M24:M25" si="16">IF(I24="kg", G24, G24/J24)</f>
        <v>0</v>
      </c>
      <c r="N24" s="21">
        <f t="shared" ref="N24:N25" si="17">ROUND(L24-M24,2)</f>
        <v>3.1</v>
      </c>
      <c r="O24" s="8"/>
      <c r="P24" s="8"/>
      <c r="Q24" s="8"/>
      <c r="R24" s="8"/>
      <c r="S24" s="8"/>
      <c r="T24" s="8"/>
      <c r="U24" s="8"/>
      <c r="V24" s="8"/>
    </row>
    <row r="25" spans="1:22" s="10" customFormat="1" ht="31.2" x14ac:dyDescent="0.3">
      <c r="A25" s="16" t="s">
        <v>83</v>
      </c>
      <c r="B25" s="17"/>
      <c r="C25" s="17" t="s">
        <v>84</v>
      </c>
      <c r="D25" s="17" t="s">
        <v>85</v>
      </c>
      <c r="E25" s="17" t="s">
        <v>33</v>
      </c>
      <c r="F25" s="17">
        <v>2.54</v>
      </c>
      <c r="G25" s="17">
        <v>0</v>
      </c>
      <c r="H25" s="17"/>
      <c r="I25" s="17" t="s">
        <v>34</v>
      </c>
      <c r="J25" s="17"/>
      <c r="K25" s="8"/>
      <c r="L25" s="21">
        <f t="shared" si="15"/>
        <v>2.54</v>
      </c>
      <c r="M25" s="21">
        <f t="shared" si="16"/>
        <v>0</v>
      </c>
      <c r="N25" s="21">
        <f t="shared" si="17"/>
        <v>2.54</v>
      </c>
      <c r="O25" s="8"/>
      <c r="P25" s="8"/>
      <c r="Q25" s="8"/>
      <c r="R25" s="8"/>
      <c r="S25" s="8"/>
      <c r="T25" s="8"/>
      <c r="U25" s="8"/>
      <c r="V25" s="8"/>
    </row>
    <row r="26" spans="1:22" s="10" customFormat="1" ht="15.6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8"/>
      <c r="L26" s="21"/>
      <c r="M26" s="21"/>
      <c r="N26" s="21"/>
      <c r="O26" s="8"/>
      <c r="P26" s="8"/>
      <c r="Q26" s="8"/>
      <c r="R26" s="8"/>
      <c r="S26" s="8"/>
      <c r="T26" s="8"/>
      <c r="U26" s="8"/>
      <c r="V26" s="8"/>
    </row>
    <row r="27" spans="1:22" s="10" customFormat="1" ht="15.6" x14ac:dyDescent="0.3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8"/>
      <c r="L27" s="21"/>
      <c r="M27" s="21"/>
      <c r="N27" s="21"/>
      <c r="O27" s="8"/>
      <c r="P27" s="8"/>
      <c r="Q27" s="8"/>
      <c r="R27" s="8"/>
      <c r="S27" s="8"/>
      <c r="T27" s="8"/>
      <c r="U27" s="8"/>
      <c r="V27" s="8"/>
    </row>
    <row r="28" spans="1:22" s="10" customFormat="1" ht="15.6" x14ac:dyDescent="0.3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8"/>
      <c r="L28" s="21"/>
      <c r="M28" s="21"/>
      <c r="N28" s="21"/>
      <c r="O28" s="8"/>
      <c r="P28" s="8"/>
      <c r="Q28" s="8"/>
      <c r="R28" s="8"/>
      <c r="S28" s="8"/>
      <c r="T28" s="8"/>
      <c r="U28" s="8"/>
      <c r="V28" s="8"/>
    </row>
    <row r="29" spans="1:22" s="10" customFormat="1" ht="15.6" x14ac:dyDescent="0.3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8"/>
      <c r="L29" s="21"/>
      <c r="M29" s="21"/>
      <c r="N29" s="21"/>
      <c r="O29" s="8"/>
      <c r="P29" s="8"/>
      <c r="Q29" s="8"/>
      <c r="R29" s="8"/>
      <c r="S29" s="8"/>
      <c r="T29" s="8"/>
      <c r="U29" s="8"/>
      <c r="V29" s="8"/>
    </row>
    <row r="30" spans="1:22" s="10" customFormat="1" ht="15.6" x14ac:dyDescent="0.3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8"/>
      <c r="L30" s="21"/>
      <c r="M30" s="21"/>
      <c r="N30" s="21"/>
      <c r="O30" s="8"/>
      <c r="P30" s="8"/>
      <c r="Q30" s="8"/>
      <c r="R30" s="8"/>
      <c r="S30" s="8"/>
      <c r="T30" s="8"/>
      <c r="U30" s="8"/>
      <c r="V30" s="8"/>
    </row>
    <row r="31" spans="1:22" s="10" customFormat="1" ht="15.6" x14ac:dyDescent="0.3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</sheetData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2694-CB3D-44C4-88C6-91C1A3433B74}">
  <sheetPr>
    <tabColor theme="9" tint="0.39997558519241921"/>
  </sheetPr>
  <dimension ref="A2:F18"/>
  <sheetViews>
    <sheetView workbookViewId="0">
      <selection activeCell="A49" sqref="A49"/>
    </sheetView>
  </sheetViews>
  <sheetFormatPr defaultRowHeight="14.4" x14ac:dyDescent="0.3"/>
  <cols>
    <col min="1" max="1" width="61.5546875" bestFit="1" customWidth="1"/>
    <col min="2" max="6" width="15.5546875" style="2" customWidth="1"/>
  </cols>
  <sheetData>
    <row r="2" spans="1:6" x14ac:dyDescent="0.3">
      <c r="A2" s="3" t="s">
        <v>86</v>
      </c>
      <c r="B2" t="s">
        <v>182</v>
      </c>
    </row>
    <row r="6" spans="1:6" s="1" customFormat="1" ht="39.6" x14ac:dyDescent="0.3">
      <c r="A6" s="40" t="s">
        <v>87</v>
      </c>
      <c r="B6" s="42" t="s">
        <v>88</v>
      </c>
      <c r="C6" s="42" t="s">
        <v>89</v>
      </c>
      <c r="D6" s="42" t="s">
        <v>90</v>
      </c>
      <c r="E6" s="42" t="s">
        <v>91</v>
      </c>
      <c r="F6" s="42" t="s">
        <v>92</v>
      </c>
    </row>
    <row r="7" spans="1:6" x14ac:dyDescent="0.3">
      <c r="A7" s="41" t="s">
        <v>93</v>
      </c>
      <c r="B7" s="43">
        <v>15</v>
      </c>
      <c r="C7" s="43">
        <v>36</v>
      </c>
      <c r="D7" s="43">
        <v>0.8</v>
      </c>
      <c r="E7" s="43" t="s">
        <v>94</v>
      </c>
      <c r="F7" s="43">
        <v>52</v>
      </c>
    </row>
    <row r="8" spans="1:6" x14ac:dyDescent="0.3">
      <c r="A8" s="41" t="s">
        <v>95</v>
      </c>
      <c r="B8" s="43">
        <v>19</v>
      </c>
      <c r="C8" s="43">
        <v>52</v>
      </c>
      <c r="D8" s="43">
        <v>0.9</v>
      </c>
      <c r="E8" s="43">
        <v>13</v>
      </c>
      <c r="F8" s="43">
        <v>85</v>
      </c>
    </row>
    <row r="9" spans="1:6" x14ac:dyDescent="0.3">
      <c r="A9" s="41" t="s">
        <v>96</v>
      </c>
      <c r="B9" s="43">
        <v>17</v>
      </c>
      <c r="C9" s="43">
        <v>46</v>
      </c>
      <c r="D9" s="43">
        <v>0.8</v>
      </c>
      <c r="E9" s="43">
        <v>18</v>
      </c>
      <c r="F9" s="43">
        <v>83</v>
      </c>
    </row>
    <row r="10" spans="1:6" x14ac:dyDescent="0.3">
      <c r="A10" s="41" t="s">
        <v>97</v>
      </c>
      <c r="B10" s="43">
        <v>17</v>
      </c>
      <c r="C10" s="43">
        <v>55</v>
      </c>
      <c r="D10" s="43">
        <v>1</v>
      </c>
      <c r="E10" s="43">
        <v>388</v>
      </c>
      <c r="F10" s="43">
        <v>462</v>
      </c>
    </row>
    <row r="11" spans="1:6" x14ac:dyDescent="0.3">
      <c r="A11" s="41" t="s">
        <v>98</v>
      </c>
      <c r="B11" s="43">
        <v>7</v>
      </c>
      <c r="C11" s="43">
        <v>19</v>
      </c>
      <c r="D11" s="43">
        <v>0.2</v>
      </c>
      <c r="E11" s="43" t="s">
        <v>94</v>
      </c>
      <c r="F11" s="43">
        <v>26</v>
      </c>
    </row>
    <row r="12" spans="1:6" x14ac:dyDescent="0.3">
      <c r="A12" s="41" t="s">
        <v>99</v>
      </c>
      <c r="B12" s="43">
        <v>10</v>
      </c>
      <c r="C12" s="43">
        <v>32</v>
      </c>
      <c r="D12" s="43">
        <v>0.4</v>
      </c>
      <c r="E12" s="43">
        <v>10</v>
      </c>
      <c r="F12" s="43">
        <v>53</v>
      </c>
    </row>
    <row r="13" spans="1:6" x14ac:dyDescent="0.3">
      <c r="A13" s="41" t="s">
        <v>100</v>
      </c>
      <c r="B13" s="43">
        <v>14</v>
      </c>
      <c r="C13" s="43">
        <v>45</v>
      </c>
      <c r="D13" s="43">
        <v>0.8</v>
      </c>
      <c r="E13" s="43">
        <v>27</v>
      </c>
      <c r="F13" s="43">
        <v>87</v>
      </c>
    </row>
    <row r="15" spans="1:6" x14ac:dyDescent="0.3">
      <c r="A15" t="s">
        <v>101</v>
      </c>
    </row>
    <row r="16" spans="1:6" x14ac:dyDescent="0.3">
      <c r="A16" t="s">
        <v>102</v>
      </c>
    </row>
    <row r="18" spans="1:6" s="3" customFormat="1" x14ac:dyDescent="0.3">
      <c r="A18" s="3" t="s">
        <v>103</v>
      </c>
      <c r="B18" s="4">
        <f>AVERAGE(B7:B13)</f>
        <v>14.142857142857142</v>
      </c>
      <c r="C18" s="4">
        <f t="shared" ref="C18:F18" si="0">AVERAGE(C7:C13)</f>
        <v>40.714285714285715</v>
      </c>
      <c r="D18" s="4">
        <f t="shared" si="0"/>
        <v>0.70000000000000007</v>
      </c>
      <c r="E18" s="4">
        <f t="shared" si="0"/>
        <v>91.2</v>
      </c>
      <c r="F18" s="4">
        <f t="shared" si="0"/>
        <v>121.14285714285714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2544-6EF3-47F7-993C-DB42DA3A23C0}">
  <sheetPr>
    <tabColor theme="9" tint="0.39997558519241921"/>
  </sheetPr>
  <dimension ref="A2:F22"/>
  <sheetViews>
    <sheetView workbookViewId="0">
      <selection activeCell="D49" sqref="D49"/>
    </sheetView>
  </sheetViews>
  <sheetFormatPr defaultRowHeight="14.4" x14ac:dyDescent="0.3"/>
  <cols>
    <col min="1" max="1" width="61.88671875" customWidth="1"/>
    <col min="2" max="6" width="15.5546875" customWidth="1"/>
  </cols>
  <sheetData>
    <row r="2" spans="1:6" x14ac:dyDescent="0.3">
      <c r="A2" s="3" t="s">
        <v>104</v>
      </c>
      <c r="B2" t="s">
        <v>182</v>
      </c>
    </row>
    <row r="6" spans="1:6" ht="39.6" x14ac:dyDescent="0.3">
      <c r="A6" s="40" t="s">
        <v>87</v>
      </c>
      <c r="B6" s="42" t="s">
        <v>88</v>
      </c>
      <c r="C6" s="42" t="s">
        <v>89</v>
      </c>
      <c r="D6" s="42" t="s">
        <v>90</v>
      </c>
      <c r="E6" s="42" t="s">
        <v>91</v>
      </c>
      <c r="F6" s="42" t="s">
        <v>92</v>
      </c>
    </row>
    <row r="7" spans="1:6" x14ac:dyDescent="0.3">
      <c r="A7" s="41" t="s">
        <v>105</v>
      </c>
      <c r="B7" s="43">
        <v>27</v>
      </c>
      <c r="C7" s="43">
        <v>66</v>
      </c>
      <c r="D7" s="43">
        <v>1.5</v>
      </c>
      <c r="E7" s="43">
        <v>29</v>
      </c>
      <c r="F7" s="43">
        <v>122</v>
      </c>
    </row>
    <row r="8" spans="1:6" x14ac:dyDescent="0.3">
      <c r="A8" s="41" t="s">
        <v>97</v>
      </c>
      <c r="B8" s="43">
        <v>25</v>
      </c>
      <c r="C8" s="43">
        <v>73</v>
      </c>
      <c r="D8" s="43">
        <v>1.5</v>
      </c>
      <c r="E8" s="43">
        <v>733</v>
      </c>
      <c r="F8" s="43">
        <v>832</v>
      </c>
    </row>
    <row r="9" spans="1:6" x14ac:dyDescent="0.3">
      <c r="A9" s="41" t="s">
        <v>98</v>
      </c>
      <c r="B9" s="43">
        <v>9</v>
      </c>
      <c r="C9" s="43">
        <v>26</v>
      </c>
      <c r="D9" s="43">
        <v>0.3</v>
      </c>
      <c r="E9" s="43" t="s">
        <v>94</v>
      </c>
      <c r="F9" s="43">
        <v>36</v>
      </c>
    </row>
    <row r="10" spans="1:6" x14ac:dyDescent="0.3">
      <c r="A10" s="41" t="s">
        <v>99</v>
      </c>
      <c r="B10" s="43">
        <v>15</v>
      </c>
      <c r="C10" s="43">
        <v>47</v>
      </c>
      <c r="D10" s="43">
        <v>0.6</v>
      </c>
      <c r="E10" s="43">
        <v>16</v>
      </c>
      <c r="F10" s="43">
        <v>78</v>
      </c>
    </row>
    <row r="11" spans="1:6" x14ac:dyDescent="0.3">
      <c r="A11" s="41" t="s">
        <v>100</v>
      </c>
      <c r="B11" s="43">
        <v>20</v>
      </c>
      <c r="C11" s="43">
        <v>68</v>
      </c>
      <c r="D11" s="43">
        <v>1.2</v>
      </c>
      <c r="E11" s="43">
        <v>44</v>
      </c>
      <c r="F11" s="43">
        <v>133</v>
      </c>
    </row>
    <row r="12" spans="1:6" x14ac:dyDescent="0.3">
      <c r="A12" s="41" t="s">
        <v>106</v>
      </c>
      <c r="B12" s="43">
        <v>27</v>
      </c>
      <c r="C12" s="43">
        <v>81</v>
      </c>
      <c r="D12" s="43">
        <v>1.2</v>
      </c>
      <c r="E12" s="43">
        <v>1</v>
      </c>
      <c r="F12" s="43">
        <v>111</v>
      </c>
    </row>
    <row r="13" spans="1:6" x14ac:dyDescent="0.3">
      <c r="A13" s="41" t="s">
        <v>107</v>
      </c>
      <c r="B13" s="43">
        <v>36</v>
      </c>
      <c r="C13" s="43">
        <v>113</v>
      </c>
      <c r="D13" s="43">
        <v>1.4</v>
      </c>
      <c r="E13" s="43">
        <v>51</v>
      </c>
      <c r="F13" s="43">
        <v>201</v>
      </c>
    </row>
    <row r="14" spans="1:6" x14ac:dyDescent="0.3">
      <c r="A14" s="41" t="s">
        <v>108</v>
      </c>
      <c r="B14" s="43">
        <v>29</v>
      </c>
      <c r="C14" s="43">
        <v>89</v>
      </c>
      <c r="D14" s="43">
        <v>1.5</v>
      </c>
      <c r="E14" s="43" t="s">
        <v>94</v>
      </c>
      <c r="F14" s="43">
        <v>119</v>
      </c>
    </row>
    <row r="15" spans="1:6" x14ac:dyDescent="0.3">
      <c r="A15" s="41" t="s">
        <v>109</v>
      </c>
      <c r="B15" s="43">
        <v>47</v>
      </c>
      <c r="C15" s="43">
        <v>152</v>
      </c>
      <c r="D15" s="43">
        <v>2</v>
      </c>
      <c r="E15" s="43">
        <v>72</v>
      </c>
      <c r="F15" s="43">
        <v>272</v>
      </c>
    </row>
    <row r="16" spans="1:6" x14ac:dyDescent="0.3">
      <c r="A16" s="41" t="s">
        <v>110</v>
      </c>
      <c r="B16" s="43">
        <v>29</v>
      </c>
      <c r="C16" s="43">
        <v>75</v>
      </c>
      <c r="D16" s="43">
        <v>1.5</v>
      </c>
      <c r="E16" s="43">
        <v>20</v>
      </c>
      <c r="F16" s="43">
        <v>126</v>
      </c>
    </row>
    <row r="17" spans="1:6" x14ac:dyDescent="0.3">
      <c r="A17" s="41" t="s">
        <v>111</v>
      </c>
      <c r="B17" s="43">
        <v>25</v>
      </c>
      <c r="C17" s="43">
        <v>65</v>
      </c>
      <c r="D17" s="43">
        <v>1.1000000000000001</v>
      </c>
      <c r="E17" s="43" t="s">
        <v>94</v>
      </c>
      <c r="F17" s="43">
        <v>91</v>
      </c>
    </row>
    <row r="19" spans="1:6" x14ac:dyDescent="0.3">
      <c r="A19" t="s">
        <v>101</v>
      </c>
    </row>
    <row r="20" spans="1:6" x14ac:dyDescent="0.3">
      <c r="A20" t="s">
        <v>102</v>
      </c>
    </row>
    <row r="22" spans="1:6" s="3" customFormat="1" x14ac:dyDescent="0.3">
      <c r="A22" s="3" t="s">
        <v>103</v>
      </c>
      <c r="B22" s="5">
        <f>AVERAGE(B7:B17)</f>
        <v>26.272727272727273</v>
      </c>
      <c r="C22" s="5">
        <f t="shared" ref="C22:F22" si="0">AVERAGE(C7:C17)</f>
        <v>77.727272727272734</v>
      </c>
      <c r="D22" s="5">
        <f t="shared" si="0"/>
        <v>1.2545454545454544</v>
      </c>
      <c r="E22" s="5">
        <f t="shared" si="0"/>
        <v>120.75</v>
      </c>
      <c r="F22" s="5">
        <f t="shared" si="0"/>
        <v>192.81818181818181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53BD-2B10-4FAD-AB8B-9097DA28508D}">
  <sheetPr>
    <tabColor theme="9" tint="0.39997558519241921"/>
  </sheetPr>
  <dimension ref="B1:K43"/>
  <sheetViews>
    <sheetView workbookViewId="0">
      <selection activeCell="C43" sqref="C43"/>
    </sheetView>
  </sheetViews>
  <sheetFormatPr defaultColWidth="8.77734375" defaultRowHeight="14.4" x14ac:dyDescent="0.3"/>
  <cols>
    <col min="1" max="1" width="8.77734375" style="22"/>
    <col min="2" max="2" width="21.77734375" style="24" customWidth="1"/>
    <col min="3" max="3" width="22.21875" style="24" customWidth="1"/>
    <col min="4" max="4" width="17.21875" style="25" customWidth="1"/>
    <col min="5" max="5" width="23" style="26" customWidth="1"/>
    <col min="6" max="6" width="14.21875" style="25" customWidth="1"/>
    <col min="7" max="7" width="14.44140625" style="25" customWidth="1"/>
    <col min="8" max="8" width="6.21875" style="22" customWidth="1"/>
    <col min="9" max="9" width="11.77734375" style="22" customWidth="1"/>
    <col min="10" max="10" width="10.5546875" style="22" customWidth="1"/>
    <col min="11" max="11" width="15.77734375" style="25" customWidth="1"/>
    <col min="12" max="16384" width="8.77734375" style="22"/>
  </cols>
  <sheetData>
    <row r="1" spans="2:11" x14ac:dyDescent="0.3">
      <c r="B1" s="24" t="s">
        <v>112</v>
      </c>
    </row>
    <row r="2" spans="2:11" s="23" customFormat="1" ht="29.55" customHeight="1" x14ac:dyDescent="0.3">
      <c r="B2" s="7" t="s">
        <v>113</v>
      </c>
      <c r="C2" s="7" t="s">
        <v>114</v>
      </c>
      <c r="D2" s="6" t="s">
        <v>115</v>
      </c>
      <c r="E2" s="6" t="s">
        <v>116</v>
      </c>
      <c r="F2" s="6" t="s">
        <v>117</v>
      </c>
      <c r="G2" s="6" t="s">
        <v>118</v>
      </c>
      <c r="I2" s="6" t="s">
        <v>119</v>
      </c>
      <c r="J2" s="6" t="s">
        <v>120</v>
      </c>
      <c r="K2" s="6" t="s">
        <v>121</v>
      </c>
    </row>
    <row r="3" spans="2:11" ht="28.8" x14ac:dyDescent="0.3">
      <c r="B3" s="27" t="s">
        <v>122</v>
      </c>
      <c r="C3" s="27"/>
      <c r="D3" s="28">
        <v>23</v>
      </c>
      <c r="E3" s="29" t="s">
        <v>55</v>
      </c>
      <c r="F3" s="30">
        <f>IF(E3="", "", VLOOKUP(E3,'Materials Table'!$A$1:$N$30, 14, FALSE))</f>
        <v>2.6</v>
      </c>
      <c r="G3" s="30">
        <f>IF(E3="", "", ROUND(D3*F3,0))</f>
        <v>60</v>
      </c>
      <c r="I3" s="28">
        <v>1</v>
      </c>
      <c r="J3" s="28">
        <v>1.3</v>
      </c>
      <c r="K3" s="30">
        <f>ROUND(G3*I3*J3,0)</f>
        <v>78</v>
      </c>
    </row>
    <row r="4" spans="2:11" x14ac:dyDescent="0.3">
      <c r="B4" s="27" t="s">
        <v>123</v>
      </c>
      <c r="C4" s="27"/>
      <c r="D4" s="28">
        <v>1.9</v>
      </c>
      <c r="E4" s="29" t="s">
        <v>46</v>
      </c>
      <c r="F4" s="30">
        <f>IF(E4="", "", VLOOKUP(E4,'Materials Table'!$A$1:$N$30, 14, FALSE))</f>
        <v>2.64</v>
      </c>
      <c r="G4" s="30">
        <f t="shared" ref="G4:G10" si="0">IF(E4="", "", ROUND(D4*F4,0))</f>
        <v>5</v>
      </c>
      <c r="I4" s="28">
        <v>1.3</v>
      </c>
      <c r="J4" s="28">
        <v>1.3</v>
      </c>
      <c r="K4" s="30">
        <f t="shared" ref="K4:K8" si="1">ROUND(G4*I4*J4,0)</f>
        <v>8</v>
      </c>
    </row>
    <row r="5" spans="2:11" x14ac:dyDescent="0.3">
      <c r="B5" s="27" t="s">
        <v>124</v>
      </c>
      <c r="C5" s="27" t="s">
        <v>125</v>
      </c>
      <c r="D5" s="28">
        <v>1.8</v>
      </c>
      <c r="E5" s="29" t="s">
        <v>46</v>
      </c>
      <c r="F5" s="30">
        <f>IF(E5="", "", VLOOKUP(E5,'Materials Table'!$A$1:$N$30, 14, FALSE))</f>
        <v>2.64</v>
      </c>
      <c r="G5" s="30">
        <f t="shared" si="0"/>
        <v>5</v>
      </c>
      <c r="I5" s="28">
        <v>1.3</v>
      </c>
      <c r="J5" s="28">
        <v>1.3</v>
      </c>
      <c r="K5" s="30">
        <f t="shared" si="1"/>
        <v>8</v>
      </c>
    </row>
    <row r="6" spans="2:11" x14ac:dyDescent="0.3">
      <c r="B6" s="27" t="s">
        <v>126</v>
      </c>
      <c r="C6" s="27" t="s">
        <v>127</v>
      </c>
      <c r="D6" s="28">
        <v>23</v>
      </c>
      <c r="E6" s="29" t="s">
        <v>37</v>
      </c>
      <c r="F6" s="30">
        <f>IF(E6="", "", VLOOKUP(E6,'Materials Table'!$A$1:$N$30, 14, FALSE))</f>
        <v>1.61</v>
      </c>
      <c r="G6" s="30">
        <f t="shared" si="0"/>
        <v>37</v>
      </c>
      <c r="I6" s="28">
        <v>1.3</v>
      </c>
      <c r="J6" s="28">
        <v>1.3</v>
      </c>
      <c r="K6" s="30">
        <f t="shared" si="1"/>
        <v>63</v>
      </c>
    </row>
    <row r="7" spans="2:11" x14ac:dyDescent="0.3">
      <c r="B7" s="27" t="s">
        <v>128</v>
      </c>
      <c r="C7" s="27" t="s">
        <v>129</v>
      </c>
      <c r="D7" s="28">
        <v>1.7</v>
      </c>
      <c r="E7" s="29" t="s">
        <v>46</v>
      </c>
      <c r="F7" s="30">
        <f>IF(E7="", "", VLOOKUP(E7,'Materials Table'!$A$1:$N$30, 14, FALSE))</f>
        <v>2.64</v>
      </c>
      <c r="G7" s="30">
        <f t="shared" si="0"/>
        <v>4</v>
      </c>
      <c r="I7" s="28">
        <v>1.3</v>
      </c>
      <c r="J7" s="28">
        <v>1.3</v>
      </c>
      <c r="K7" s="30">
        <f t="shared" si="1"/>
        <v>7</v>
      </c>
    </row>
    <row r="8" spans="2:11" ht="15.6" x14ac:dyDescent="0.3">
      <c r="B8" s="27" t="s">
        <v>13</v>
      </c>
      <c r="C8" s="27" t="s">
        <v>130</v>
      </c>
      <c r="D8" s="28">
        <v>27</v>
      </c>
      <c r="E8" s="31" t="s">
        <v>37</v>
      </c>
      <c r="F8" s="30">
        <f>IF(E8="", "", VLOOKUP(E8,'Materials Table'!$A$1:$N$30, 14, FALSE))</f>
        <v>1.61</v>
      </c>
      <c r="G8" s="30">
        <f t="shared" si="0"/>
        <v>43</v>
      </c>
      <c r="I8" s="28">
        <v>1.3</v>
      </c>
      <c r="J8" s="28">
        <v>1.3</v>
      </c>
      <c r="K8" s="30">
        <f t="shared" si="1"/>
        <v>73</v>
      </c>
    </row>
    <row r="9" spans="2:11" x14ac:dyDescent="0.3">
      <c r="B9" s="27"/>
      <c r="C9" s="27"/>
      <c r="D9" s="28"/>
      <c r="E9" s="29"/>
      <c r="F9" s="30" t="str">
        <f>IF(E9="", "", VLOOKUP(E9,'Materials Table'!$A$1:$N$30, 14, FALSE))</f>
        <v/>
      </c>
      <c r="G9" s="30" t="str">
        <f t="shared" si="0"/>
        <v/>
      </c>
      <c r="I9" s="28"/>
      <c r="J9" s="28"/>
      <c r="K9" s="30"/>
    </row>
    <row r="10" spans="2:11" x14ac:dyDescent="0.3">
      <c r="B10" s="27"/>
      <c r="C10" s="27"/>
      <c r="D10" s="28"/>
      <c r="E10" s="29"/>
      <c r="F10" s="30" t="str">
        <f>IF(E10="", "", VLOOKUP(E10,'Materials Table'!$A$1:$N$30, 14, FALSE))</f>
        <v/>
      </c>
      <c r="G10" s="30" t="str">
        <f t="shared" si="0"/>
        <v/>
      </c>
      <c r="I10" s="28"/>
      <c r="J10" s="28"/>
      <c r="K10" s="30"/>
    </row>
    <row r="14" spans="2:11" x14ac:dyDescent="0.3">
      <c r="B14" s="24" t="s">
        <v>131</v>
      </c>
    </row>
    <row r="15" spans="2:11" ht="28.8" x14ac:dyDescent="0.3">
      <c r="B15" s="7" t="s">
        <v>113</v>
      </c>
      <c r="C15" s="7" t="s">
        <v>114</v>
      </c>
      <c r="D15" s="6" t="s">
        <v>115</v>
      </c>
      <c r="E15" s="6" t="s">
        <v>116</v>
      </c>
      <c r="F15" s="6" t="s">
        <v>117</v>
      </c>
      <c r="G15" s="6" t="s">
        <v>118</v>
      </c>
      <c r="I15" s="6" t="s">
        <v>119</v>
      </c>
      <c r="J15" s="6" t="s">
        <v>120</v>
      </c>
      <c r="K15" s="6" t="s">
        <v>121</v>
      </c>
    </row>
    <row r="16" spans="2:11" ht="28.8" x14ac:dyDescent="0.3">
      <c r="B16" s="27" t="s">
        <v>132</v>
      </c>
      <c r="C16" s="27"/>
      <c r="D16" s="28">
        <v>30</v>
      </c>
      <c r="E16" s="29" t="s">
        <v>52</v>
      </c>
      <c r="F16" s="30">
        <f>IF(E16="", "", VLOOKUP(E16,'Materials Table'!$A$1:$N$30, 14, FALSE))</f>
        <v>1.4</v>
      </c>
      <c r="G16" s="30">
        <f t="shared" ref="G16:G22" si="2">IF(E16="", "", ROUND(D16*F16,0))</f>
        <v>42</v>
      </c>
      <c r="I16" s="28">
        <v>1</v>
      </c>
      <c r="J16" s="28">
        <v>1.3</v>
      </c>
      <c r="K16" s="30">
        <f>ROUND(G16*I16*J16,0)</f>
        <v>55</v>
      </c>
    </row>
    <row r="17" spans="2:11" x14ac:dyDescent="0.3">
      <c r="B17" s="27" t="s">
        <v>124</v>
      </c>
      <c r="C17" s="27"/>
      <c r="D17" s="28">
        <v>5</v>
      </c>
      <c r="E17" s="29" t="s">
        <v>46</v>
      </c>
      <c r="F17" s="30">
        <f>IF(E17="", "", VLOOKUP(E17,'Materials Table'!$A$1:$N$30, 14, FALSE))</f>
        <v>2.64</v>
      </c>
      <c r="G17" s="30">
        <f t="shared" si="2"/>
        <v>13</v>
      </c>
      <c r="I17" s="28">
        <v>1.3</v>
      </c>
      <c r="J17" s="28">
        <v>1.3</v>
      </c>
      <c r="K17" s="30">
        <f t="shared" ref="K17:K20" si="3">ROUND(G17*I17*J17,0)</f>
        <v>22</v>
      </c>
    </row>
    <row r="18" spans="2:11" x14ac:dyDescent="0.3">
      <c r="B18" s="27" t="s">
        <v>126</v>
      </c>
      <c r="C18" s="27" t="s">
        <v>127</v>
      </c>
      <c r="D18" s="28">
        <v>23</v>
      </c>
      <c r="E18" s="29" t="s">
        <v>37</v>
      </c>
      <c r="F18" s="30">
        <f>IF(E18="", "", VLOOKUP(E18,'Materials Table'!$A$1:$N$30, 14, FALSE))</f>
        <v>1.61</v>
      </c>
      <c r="G18" s="30">
        <f t="shared" si="2"/>
        <v>37</v>
      </c>
      <c r="I18" s="28">
        <v>1.3</v>
      </c>
      <c r="J18" s="28">
        <v>1.3</v>
      </c>
      <c r="K18" s="30">
        <f t="shared" si="3"/>
        <v>63</v>
      </c>
    </row>
    <row r="19" spans="2:11" x14ac:dyDescent="0.3">
      <c r="B19" s="27" t="s">
        <v>128</v>
      </c>
      <c r="C19" s="27" t="s">
        <v>129</v>
      </c>
      <c r="D19" s="28">
        <v>1.7</v>
      </c>
      <c r="E19" s="29" t="s">
        <v>46</v>
      </c>
      <c r="F19" s="30">
        <f>IF(E19="", "", VLOOKUP(E19,'Materials Table'!$A$1:$N$30, 14, FALSE))</f>
        <v>2.64</v>
      </c>
      <c r="G19" s="30">
        <f t="shared" si="2"/>
        <v>4</v>
      </c>
      <c r="I19" s="28">
        <v>1.3</v>
      </c>
      <c r="J19" s="28">
        <v>1.3</v>
      </c>
      <c r="K19" s="30">
        <f t="shared" si="3"/>
        <v>7</v>
      </c>
    </row>
    <row r="20" spans="2:11" ht="15.6" x14ac:dyDescent="0.3">
      <c r="B20" s="27" t="s">
        <v>13</v>
      </c>
      <c r="C20" s="27" t="s">
        <v>130</v>
      </c>
      <c r="D20" s="28">
        <v>27</v>
      </c>
      <c r="E20" s="31" t="s">
        <v>37</v>
      </c>
      <c r="F20" s="30">
        <f>IF(E20="", "", VLOOKUP(E20,'Materials Table'!$A$1:$N$30, 14, FALSE))</f>
        <v>1.61</v>
      </c>
      <c r="G20" s="30">
        <f t="shared" si="2"/>
        <v>43</v>
      </c>
      <c r="I20" s="28">
        <v>1.3</v>
      </c>
      <c r="J20" s="28">
        <v>1.3</v>
      </c>
      <c r="K20" s="30">
        <f t="shared" si="3"/>
        <v>73</v>
      </c>
    </row>
    <row r="21" spans="2:11" x14ac:dyDescent="0.3">
      <c r="B21" s="27"/>
      <c r="C21" s="27"/>
      <c r="D21" s="28"/>
      <c r="E21" s="29"/>
      <c r="F21" s="30" t="str">
        <f>IF(E21="", "", VLOOKUP(E21,'Materials Table'!$A$1:$N$30, 14, FALSE))</f>
        <v/>
      </c>
      <c r="G21" s="30" t="str">
        <f t="shared" si="2"/>
        <v/>
      </c>
      <c r="I21" s="28"/>
      <c r="J21" s="28"/>
      <c r="K21" s="30"/>
    </row>
    <row r="22" spans="2:11" x14ac:dyDescent="0.3">
      <c r="B22" s="27"/>
      <c r="C22" s="27"/>
      <c r="D22" s="28"/>
      <c r="E22" s="29"/>
      <c r="F22" s="30" t="str">
        <f>IF(E22="", "", VLOOKUP(E22,'Materials Table'!$A$1:$N$30, 14, FALSE))</f>
        <v/>
      </c>
      <c r="G22" s="30" t="str">
        <f t="shared" si="2"/>
        <v/>
      </c>
      <c r="I22" s="28"/>
      <c r="J22" s="28"/>
      <c r="K22" s="30"/>
    </row>
    <row r="26" spans="2:11" x14ac:dyDescent="0.3">
      <c r="B26" s="24" t="s">
        <v>13</v>
      </c>
    </row>
    <row r="27" spans="2:11" ht="28.8" x14ac:dyDescent="0.3">
      <c r="B27" s="7" t="s">
        <v>113</v>
      </c>
      <c r="C27" s="7" t="s">
        <v>114</v>
      </c>
      <c r="D27" s="6" t="s">
        <v>115</v>
      </c>
      <c r="E27" s="6" t="s">
        <v>116</v>
      </c>
      <c r="F27" s="6" t="s">
        <v>117</v>
      </c>
      <c r="G27" s="6" t="s">
        <v>118</v>
      </c>
      <c r="I27" s="6" t="s">
        <v>119</v>
      </c>
      <c r="J27" s="6" t="s">
        <v>120</v>
      </c>
      <c r="K27" s="6" t="s">
        <v>121</v>
      </c>
    </row>
    <row r="28" spans="2:11" x14ac:dyDescent="0.3">
      <c r="B28" s="27" t="s">
        <v>126</v>
      </c>
      <c r="C28" s="27" t="s">
        <v>133</v>
      </c>
      <c r="D28" s="28">
        <v>15</v>
      </c>
      <c r="E28" s="29" t="s">
        <v>37</v>
      </c>
      <c r="F28" s="30">
        <f>IF(E28="", "", VLOOKUP(E28,'Materials Table'!$A$1:$N$30, 14, FALSE))</f>
        <v>1.61</v>
      </c>
      <c r="G28" s="30">
        <f t="shared" ref="G28:G32" si="4">IF(E28="", "", ROUND(D28*F28,0))</f>
        <v>24</v>
      </c>
      <c r="I28" s="28">
        <v>1.3</v>
      </c>
      <c r="J28" s="28">
        <v>1.3</v>
      </c>
      <c r="K28" s="30">
        <f>ROUND(G28*I28*J28,0)</f>
        <v>41</v>
      </c>
    </row>
    <row r="29" spans="2:11" x14ac:dyDescent="0.3">
      <c r="B29" s="27" t="s">
        <v>128</v>
      </c>
      <c r="C29" s="27" t="s">
        <v>129</v>
      </c>
      <c r="D29" s="28">
        <v>1.7</v>
      </c>
      <c r="E29" s="29" t="s">
        <v>46</v>
      </c>
      <c r="F29" s="30">
        <f>IF(E29="", "", VLOOKUP(E29,'Materials Table'!$A$1:$N$30, 14, FALSE))</f>
        <v>2.64</v>
      </c>
      <c r="G29" s="30">
        <f t="shared" si="4"/>
        <v>4</v>
      </c>
      <c r="I29" s="28">
        <v>1.3</v>
      </c>
      <c r="J29" s="28">
        <v>1.3</v>
      </c>
      <c r="K29" s="30">
        <f t="shared" ref="K29:K30" si="5">ROUND(G29*I29*J29,0)</f>
        <v>7</v>
      </c>
    </row>
    <row r="30" spans="2:11" ht="15.6" x14ac:dyDescent="0.3">
      <c r="B30" s="27" t="s">
        <v>13</v>
      </c>
      <c r="C30" s="27" t="s">
        <v>130</v>
      </c>
      <c r="D30" s="28">
        <v>27</v>
      </c>
      <c r="E30" s="31" t="s">
        <v>37</v>
      </c>
      <c r="F30" s="30">
        <f>IF(E30="", "", VLOOKUP(E30,'Materials Table'!$A$1:$N$30, 14, FALSE))</f>
        <v>1.61</v>
      </c>
      <c r="G30" s="30">
        <f t="shared" si="4"/>
        <v>43</v>
      </c>
      <c r="I30" s="28">
        <v>1.3</v>
      </c>
      <c r="J30" s="28">
        <v>1.3</v>
      </c>
      <c r="K30" s="30">
        <f t="shared" si="5"/>
        <v>73</v>
      </c>
    </row>
    <row r="31" spans="2:11" x14ac:dyDescent="0.3">
      <c r="B31" s="27"/>
      <c r="C31" s="27"/>
      <c r="D31" s="28"/>
      <c r="E31" s="29"/>
      <c r="F31" s="30" t="str">
        <f>IF(E31="", "", VLOOKUP(E31,'Materials Table'!$A$1:$N$30, 14, FALSE))</f>
        <v/>
      </c>
      <c r="G31" s="30" t="str">
        <f t="shared" si="4"/>
        <v/>
      </c>
      <c r="I31" s="28"/>
      <c r="J31" s="28"/>
      <c r="K31" s="30"/>
    </row>
    <row r="32" spans="2:11" x14ac:dyDescent="0.3">
      <c r="B32" s="27"/>
      <c r="C32" s="27"/>
      <c r="D32" s="28"/>
      <c r="E32" s="29"/>
      <c r="F32" s="30" t="str">
        <f>IF(E32="", "", VLOOKUP(E32,'Materials Table'!$A$1:$N$30, 14, FALSE))</f>
        <v/>
      </c>
      <c r="G32" s="30" t="str">
        <f t="shared" si="4"/>
        <v/>
      </c>
      <c r="I32" s="28"/>
      <c r="J32" s="28"/>
      <c r="K32" s="30"/>
    </row>
    <row r="38" spans="2:4" x14ac:dyDescent="0.3">
      <c r="C38" s="32" t="s">
        <v>134</v>
      </c>
    </row>
    <row r="39" spans="2:4" x14ac:dyDescent="0.3">
      <c r="B39" s="24" t="s">
        <v>112</v>
      </c>
      <c r="C39" s="24">
        <f>SUM(K3:K10)</f>
        <v>237</v>
      </c>
    </row>
    <row r="40" spans="2:4" x14ac:dyDescent="0.3">
      <c r="B40" s="24" t="s">
        <v>131</v>
      </c>
      <c r="C40" s="24">
        <f>SUM(K16:K22)</f>
        <v>220</v>
      </c>
    </row>
    <row r="41" spans="2:4" x14ac:dyDescent="0.3">
      <c r="B41" s="32" t="s">
        <v>13</v>
      </c>
      <c r="C41" s="32">
        <f>SUM(K28:K32)</f>
        <v>121</v>
      </c>
      <c r="D41" s="33" t="s">
        <v>135</v>
      </c>
    </row>
    <row r="43" spans="2:4" x14ac:dyDescent="0.3">
      <c r="B43" s="32" t="s">
        <v>136</v>
      </c>
      <c r="C43" s="32">
        <f>AVERAGE(C39:C40)</f>
        <v>228.5</v>
      </c>
      <c r="D43" s="33" t="s">
        <v>137</v>
      </c>
    </row>
  </sheetData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D6BD8C-1D71-4556-A024-CDC02870FA27}">
          <x14:formula1>
            <xm:f>'Materials Table'!$A$2:$A$30</xm:f>
          </x14:formula1>
          <xm:sqref>E3:E10 E28:E32 E16:E22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9629-86CC-49EF-84D8-04998D0D03A1}">
  <sheetPr>
    <tabColor theme="9" tint="0.39997558519241921"/>
  </sheetPr>
  <dimension ref="B2:K88"/>
  <sheetViews>
    <sheetView workbookViewId="0">
      <selection activeCell="B91" sqref="B91"/>
    </sheetView>
  </sheetViews>
  <sheetFormatPr defaultColWidth="8.6640625" defaultRowHeight="14.4" x14ac:dyDescent="0.3"/>
  <cols>
    <col min="1" max="1" width="8.6640625" style="22"/>
    <col min="2" max="2" width="33.5546875" style="24" bestFit="1" customWidth="1"/>
    <col min="3" max="3" width="33.5546875" style="24" customWidth="1"/>
    <col min="4" max="4" width="17.33203125" style="25" customWidth="1"/>
    <col min="5" max="5" width="23" style="26" customWidth="1"/>
    <col min="6" max="6" width="14.33203125" style="25" customWidth="1"/>
    <col min="7" max="7" width="14.44140625" style="25" customWidth="1"/>
    <col min="8" max="8" width="11.5546875" style="22" customWidth="1"/>
    <col min="9" max="9" width="11.88671875" style="22" customWidth="1"/>
    <col min="10" max="10" width="10.5546875" style="22" customWidth="1"/>
    <col min="11" max="11" width="15.88671875" style="25" customWidth="1"/>
    <col min="12" max="16384" width="8.6640625" style="22"/>
  </cols>
  <sheetData>
    <row r="2" spans="2:11" x14ac:dyDescent="0.3">
      <c r="B2" s="22"/>
    </row>
    <row r="4" spans="2:11" x14ac:dyDescent="0.3">
      <c r="B4" s="24" t="s">
        <v>224</v>
      </c>
    </row>
    <row r="5" spans="2:11" ht="28.8" x14ac:dyDescent="0.3">
      <c r="B5" s="7" t="s">
        <v>113</v>
      </c>
      <c r="C5" s="7" t="s">
        <v>114</v>
      </c>
      <c r="D5" s="6" t="s">
        <v>115</v>
      </c>
      <c r="E5" s="6" t="s">
        <v>116</v>
      </c>
      <c r="F5" s="6" t="s">
        <v>117</v>
      </c>
      <c r="G5" s="6" t="s">
        <v>118</v>
      </c>
      <c r="H5" s="23"/>
      <c r="I5" s="6" t="s">
        <v>119</v>
      </c>
      <c r="J5" s="6" t="s">
        <v>120</v>
      </c>
      <c r="K5" s="6" t="s">
        <v>121</v>
      </c>
    </row>
    <row r="6" spans="2:11" x14ac:dyDescent="0.3">
      <c r="B6" s="48" t="s">
        <v>225</v>
      </c>
      <c r="C6" s="48"/>
      <c r="D6" s="49">
        <v>205</v>
      </c>
      <c r="E6" s="50" t="s">
        <v>67</v>
      </c>
      <c r="F6" s="51">
        <f>IF(E6="", "", VLOOKUP(E6,'[1]Materials Table'!$A$1:$N$30, 14, FALSE))</f>
        <v>0.5</v>
      </c>
      <c r="G6" s="51">
        <f>IF(E6="", "", ROUND(D6*F6,0))</f>
        <v>103</v>
      </c>
      <c r="I6" s="28">
        <v>1.3</v>
      </c>
      <c r="J6" s="28">
        <v>1.3</v>
      </c>
      <c r="K6" s="30">
        <f>ROUND(G6*I6*J6,0)</f>
        <v>174</v>
      </c>
    </row>
    <row r="7" spans="2:11" x14ac:dyDescent="0.3">
      <c r="B7" s="48" t="s">
        <v>226</v>
      </c>
      <c r="C7" s="48"/>
      <c r="D7" s="49">
        <v>1.75</v>
      </c>
      <c r="E7" s="50" t="s">
        <v>66</v>
      </c>
      <c r="F7" s="51">
        <f>IF(E7="", "", VLOOKUP(E7,'[1]Materials Table'!$A$1:$N$30, 14, FALSE))</f>
        <v>0.46</v>
      </c>
      <c r="G7" s="51">
        <f t="shared" ref="G7:G17" si="0">IF(E7="", "", ROUND(D7*F7,0))</f>
        <v>1</v>
      </c>
      <c r="I7" s="28">
        <v>1.3</v>
      </c>
      <c r="J7" s="28">
        <v>1.3</v>
      </c>
      <c r="K7" s="30">
        <f t="shared" ref="K7:K12" si="1">ROUND(G7*I7*J7,0)</f>
        <v>2</v>
      </c>
    </row>
    <row r="8" spans="2:11" x14ac:dyDescent="0.3">
      <c r="B8" s="48" t="s">
        <v>138</v>
      </c>
      <c r="C8" s="48"/>
      <c r="D8" s="49">
        <v>178</v>
      </c>
      <c r="E8" s="50" t="s">
        <v>67</v>
      </c>
      <c r="F8" s="51">
        <f>IF(E8="", "", VLOOKUP(E8,'[1]Materials Table'!$A$1:$N$30, 14, FALSE))</f>
        <v>0.5</v>
      </c>
      <c r="G8" s="51">
        <f t="shared" si="0"/>
        <v>89</v>
      </c>
      <c r="I8" s="28">
        <v>1.3</v>
      </c>
      <c r="J8" s="28">
        <v>1.3</v>
      </c>
      <c r="K8" s="30">
        <f t="shared" si="1"/>
        <v>150</v>
      </c>
    </row>
    <row r="9" spans="2:11" x14ac:dyDescent="0.3">
      <c r="B9" s="48" t="s">
        <v>139</v>
      </c>
      <c r="C9" s="48"/>
      <c r="D9" s="49">
        <v>2.2000000000000002</v>
      </c>
      <c r="E9" s="50" t="s">
        <v>42</v>
      </c>
      <c r="F9" s="51">
        <f>IF(E9="", "", VLOOKUP(E9,'[1]Materials Table'!$A$1:$N$30, 14, FALSE))</f>
        <v>2.67</v>
      </c>
      <c r="G9" s="51">
        <f t="shared" si="0"/>
        <v>6</v>
      </c>
      <c r="I9" s="28">
        <v>1.3</v>
      </c>
      <c r="J9" s="28">
        <v>1.3</v>
      </c>
      <c r="K9" s="51">
        <f t="shared" si="1"/>
        <v>10</v>
      </c>
    </row>
    <row r="10" spans="2:11" x14ac:dyDescent="0.3">
      <c r="B10" s="48" t="s">
        <v>140</v>
      </c>
      <c r="C10" s="48"/>
      <c r="D10" s="49">
        <v>0.8</v>
      </c>
      <c r="E10" s="50" t="s">
        <v>63</v>
      </c>
      <c r="F10" s="51">
        <f>IF(E10="", "", VLOOKUP(E10,'[1]Materials Table'!$A$1:$N$30, 14, FALSE))</f>
        <v>6.67</v>
      </c>
      <c r="G10" s="51">
        <f t="shared" si="0"/>
        <v>5</v>
      </c>
      <c r="H10" s="22" t="s">
        <v>227</v>
      </c>
      <c r="I10" s="28">
        <v>1.3</v>
      </c>
      <c r="J10" s="28">
        <v>1.3</v>
      </c>
      <c r="K10" s="51">
        <f t="shared" si="1"/>
        <v>8</v>
      </c>
    </row>
    <row r="11" spans="2:11" ht="15.6" x14ac:dyDescent="0.3">
      <c r="B11" s="48" t="s">
        <v>141</v>
      </c>
      <c r="C11" s="48"/>
      <c r="D11" s="49">
        <v>6.2</v>
      </c>
      <c r="E11" s="52" t="s">
        <v>42</v>
      </c>
      <c r="F11" s="51">
        <f>IF(E11="", "", VLOOKUP(E11,'[1]Materials Table'!$A$1:$N$30, 14, FALSE))</f>
        <v>2.67</v>
      </c>
      <c r="G11" s="51">
        <f t="shared" si="0"/>
        <v>17</v>
      </c>
      <c r="I11" s="28">
        <v>1.3</v>
      </c>
      <c r="J11" s="28">
        <v>1.3</v>
      </c>
      <c r="K11" s="51">
        <f t="shared" si="1"/>
        <v>29</v>
      </c>
    </row>
    <row r="12" spans="2:11" ht="15.6" x14ac:dyDescent="0.3">
      <c r="B12" s="48" t="s">
        <v>228</v>
      </c>
      <c r="C12" s="48"/>
      <c r="D12" s="49">
        <v>1.7</v>
      </c>
      <c r="E12" s="52" t="s">
        <v>30</v>
      </c>
      <c r="F12" s="51">
        <f>IF(E12="", "", VLOOKUP(E12,'[1]Materials Table'!$A$1:$N$30, 14, FALSE))</f>
        <v>3.76</v>
      </c>
      <c r="G12" s="51">
        <f t="shared" si="0"/>
        <v>6</v>
      </c>
      <c r="I12" s="28"/>
      <c r="J12" s="28"/>
      <c r="K12" s="51">
        <f t="shared" si="1"/>
        <v>0</v>
      </c>
    </row>
    <row r="13" spans="2:11" x14ac:dyDescent="0.3">
      <c r="B13" s="53" t="s">
        <v>142</v>
      </c>
      <c r="C13" s="53" t="s">
        <v>143</v>
      </c>
      <c r="D13" s="54"/>
      <c r="E13" s="55" t="s">
        <v>48</v>
      </c>
      <c r="F13" s="51">
        <f>IF(E13="", "", VLOOKUP(E13,'[1]Materials Table'!$A$1:$N$30, 14, FALSE))</f>
        <v>0.88</v>
      </c>
      <c r="G13" s="51">
        <f t="shared" si="0"/>
        <v>0</v>
      </c>
      <c r="I13" s="28">
        <v>1</v>
      </c>
      <c r="J13" s="28">
        <v>1.3</v>
      </c>
      <c r="K13" s="51">
        <f>ROUND(G13*I13*J13,0)</f>
        <v>0</v>
      </c>
    </row>
    <row r="14" spans="2:11" x14ac:dyDescent="0.3">
      <c r="B14" s="53" t="s">
        <v>144</v>
      </c>
      <c r="C14" s="53" t="s">
        <v>145</v>
      </c>
      <c r="D14" s="54">
        <f>18*2</f>
        <v>36</v>
      </c>
      <c r="E14" s="55" t="s">
        <v>40</v>
      </c>
      <c r="F14" s="51">
        <f>IF(E14="", "", VLOOKUP(E14,'[1]Materials Table'!$A$1:$N$30, 14, FALSE))</f>
        <v>0.78</v>
      </c>
      <c r="G14" s="51">
        <f>IF(E14="", "", ROUND(D14*F14,0))</f>
        <v>28</v>
      </c>
      <c r="I14" s="28">
        <v>1</v>
      </c>
      <c r="J14" s="28">
        <v>1.3</v>
      </c>
      <c r="K14" s="51">
        <f t="shared" ref="K14:K17" si="2">ROUND(G14*I14*J14,0)</f>
        <v>36</v>
      </c>
    </row>
    <row r="15" spans="2:11" x14ac:dyDescent="0.3">
      <c r="B15" s="48" t="s">
        <v>229</v>
      </c>
      <c r="C15" s="48"/>
      <c r="D15" s="49">
        <v>4.5</v>
      </c>
      <c r="E15" s="50" t="s">
        <v>61</v>
      </c>
      <c r="F15" s="51">
        <f>IF(E15="", "", VLOOKUP(E15,'[1]Materials Table'!$A$1:$N$30, 14, FALSE))</f>
        <v>4.41</v>
      </c>
      <c r="G15" s="51">
        <f>IF(E15="", "", ROUND(D15*F15,0))</f>
        <v>20</v>
      </c>
      <c r="I15" s="28">
        <v>1.3</v>
      </c>
      <c r="J15" s="28">
        <v>1.3</v>
      </c>
      <c r="K15" s="51">
        <f t="shared" si="2"/>
        <v>34</v>
      </c>
    </row>
    <row r="16" spans="2:11" x14ac:dyDescent="0.3">
      <c r="B16" s="48" t="s">
        <v>126</v>
      </c>
      <c r="C16" s="48"/>
      <c r="D16" s="49">
        <v>6</v>
      </c>
      <c r="E16" s="50" t="s">
        <v>61</v>
      </c>
      <c r="F16" s="51">
        <f>IF(E16="", "", VLOOKUP(E16,'[1]Materials Table'!$A$1:$N$30, 14, FALSE))</f>
        <v>4.41</v>
      </c>
      <c r="G16" s="51">
        <f>IF(E16="", "", ROUND(D16*F16,0))</f>
        <v>26</v>
      </c>
      <c r="I16" s="28">
        <v>1.3</v>
      </c>
      <c r="J16" s="28">
        <v>1.3</v>
      </c>
      <c r="K16" s="30">
        <f t="shared" si="2"/>
        <v>44</v>
      </c>
    </row>
    <row r="17" spans="2:11" x14ac:dyDescent="0.3">
      <c r="B17" s="48" t="s">
        <v>128</v>
      </c>
      <c r="C17" s="48"/>
      <c r="D17" s="49">
        <v>2</v>
      </c>
      <c r="E17" s="50" t="s">
        <v>61</v>
      </c>
      <c r="F17" s="51">
        <f>IF(E17="", "", VLOOKUP(E17,'[1]Materials Table'!$A$1:$N$30, 14, FALSE))</f>
        <v>4.41</v>
      </c>
      <c r="G17" s="51">
        <f t="shared" si="0"/>
        <v>9</v>
      </c>
      <c r="I17" s="28">
        <v>1.3</v>
      </c>
      <c r="J17" s="28">
        <v>1.3</v>
      </c>
      <c r="K17" s="30">
        <f t="shared" si="2"/>
        <v>15</v>
      </c>
    </row>
    <row r="18" spans="2:11" x14ac:dyDescent="0.3">
      <c r="B18" s="24" t="s">
        <v>146</v>
      </c>
    </row>
    <row r="19" spans="2:11" x14ac:dyDescent="0.3">
      <c r="B19" s="27" t="s">
        <v>147</v>
      </c>
      <c r="C19" s="27"/>
      <c r="D19" s="28">
        <v>29</v>
      </c>
      <c r="E19" s="29" t="s">
        <v>60</v>
      </c>
      <c r="F19" s="30">
        <f>IF(E19="", "", VLOOKUP(E19,'[1]Materials Table'!$A$1:$N$30, 14, FALSE))</f>
        <v>3.27</v>
      </c>
      <c r="G19" s="30">
        <f t="shared" ref="G19:G22" si="3">IF(E19="", "", ROUND(D19*F19,0))</f>
        <v>95</v>
      </c>
      <c r="I19" s="28">
        <v>1.6</v>
      </c>
      <c r="J19" s="28">
        <v>1.3</v>
      </c>
      <c r="K19" s="30">
        <f t="shared" ref="K19:K22" si="4">ROUND(G19*I19*J19,0)</f>
        <v>198</v>
      </c>
    </row>
    <row r="20" spans="2:11" x14ac:dyDescent="0.3">
      <c r="B20" s="27" t="s">
        <v>148</v>
      </c>
      <c r="C20" s="27"/>
      <c r="D20" s="28">
        <v>7</v>
      </c>
      <c r="E20" s="29" t="s">
        <v>60</v>
      </c>
      <c r="F20" s="30">
        <f>IF(E20="", "", VLOOKUP(E20,'[1]Materials Table'!$A$1:$N$30, 14, FALSE))</f>
        <v>3.27</v>
      </c>
      <c r="G20" s="30">
        <f t="shared" si="3"/>
        <v>23</v>
      </c>
      <c r="I20" s="28">
        <v>1.6</v>
      </c>
      <c r="J20" s="28">
        <v>1.3</v>
      </c>
      <c r="K20" s="30">
        <f t="shared" si="4"/>
        <v>48</v>
      </c>
    </row>
    <row r="21" spans="2:11" ht="28.8" x14ac:dyDescent="0.3">
      <c r="B21" s="27" t="s">
        <v>150</v>
      </c>
      <c r="C21" s="27"/>
      <c r="D21" s="28">
        <v>58</v>
      </c>
      <c r="E21" s="29" t="s">
        <v>57</v>
      </c>
      <c r="F21" s="30">
        <f>IF(E21="", "", VLOOKUP(E21,'[1]Materials Table'!$A$1:$N$30, 14, FALSE))</f>
        <v>4.3600000000000003</v>
      </c>
      <c r="G21" s="30">
        <f t="shared" si="3"/>
        <v>253</v>
      </c>
      <c r="I21" s="28">
        <v>1.6</v>
      </c>
      <c r="J21" s="28">
        <v>1.3</v>
      </c>
      <c r="K21" s="30">
        <f t="shared" si="4"/>
        <v>526</v>
      </c>
    </row>
    <row r="22" spans="2:11" x14ac:dyDescent="0.3">
      <c r="B22" s="27" t="s">
        <v>151</v>
      </c>
      <c r="C22" s="27"/>
      <c r="D22" s="28">
        <v>70</v>
      </c>
      <c r="E22" s="29" t="s">
        <v>60</v>
      </c>
      <c r="F22" s="30">
        <f>IF(E22="", "", VLOOKUP(E22,'[1]Materials Table'!$A$1:$N$30, 14, FALSE))</f>
        <v>3.27</v>
      </c>
      <c r="G22" s="30">
        <f t="shared" si="3"/>
        <v>229</v>
      </c>
      <c r="I22" s="28">
        <v>1.6</v>
      </c>
      <c r="J22" s="28">
        <v>1.3</v>
      </c>
      <c r="K22" s="30">
        <f t="shared" si="4"/>
        <v>476</v>
      </c>
    </row>
    <row r="27" spans="2:11" x14ac:dyDescent="0.3">
      <c r="C27" s="32" t="s">
        <v>152</v>
      </c>
    </row>
    <row r="28" spans="2:11" x14ac:dyDescent="0.3">
      <c r="B28" s="32" t="s">
        <v>230</v>
      </c>
      <c r="C28" s="32">
        <f>SUM(K6:K22)</f>
        <v>1750</v>
      </c>
      <c r="D28" s="33" t="s">
        <v>153</v>
      </c>
    </row>
    <row r="32" spans="2:11" x14ac:dyDescent="0.3">
      <c r="B32" s="24" t="s">
        <v>231</v>
      </c>
    </row>
    <row r="33" spans="2:11" ht="28.8" x14ac:dyDescent="0.3">
      <c r="B33" s="7" t="s">
        <v>113</v>
      </c>
      <c r="C33" s="7" t="s">
        <v>114</v>
      </c>
      <c r="D33" s="6" t="s">
        <v>115</v>
      </c>
      <c r="E33" s="6" t="s">
        <v>116</v>
      </c>
      <c r="F33" s="6" t="s">
        <v>117</v>
      </c>
      <c r="G33" s="6" t="s">
        <v>118</v>
      </c>
      <c r="H33" s="23"/>
      <c r="I33" s="6" t="s">
        <v>119</v>
      </c>
      <c r="J33" s="6" t="s">
        <v>120</v>
      </c>
      <c r="K33" s="6" t="s">
        <v>121</v>
      </c>
    </row>
    <row r="34" spans="2:11" x14ac:dyDescent="0.3">
      <c r="B34" s="48" t="s">
        <v>225</v>
      </c>
      <c r="C34" s="48"/>
      <c r="D34" s="49">
        <v>390</v>
      </c>
      <c r="E34" s="50" t="s">
        <v>67</v>
      </c>
      <c r="F34" s="30">
        <f>IF(E34="", "", VLOOKUP(E34,'[1]Materials Table'!$A$1:$N$30, 14, FALSE))</f>
        <v>0.5</v>
      </c>
      <c r="G34" s="30">
        <f>IF(E34="", "", ROUND(D34*F34,0))</f>
        <v>195</v>
      </c>
      <c r="I34" s="28">
        <v>1.3</v>
      </c>
      <c r="J34" s="28">
        <v>1.3</v>
      </c>
      <c r="K34" s="30">
        <f>ROUND(G34*I34*J34,0)</f>
        <v>330</v>
      </c>
    </row>
    <row r="35" spans="2:11" x14ac:dyDescent="0.3">
      <c r="B35" s="48" t="s">
        <v>226</v>
      </c>
      <c r="C35" s="48"/>
      <c r="D35" s="49">
        <v>5</v>
      </c>
      <c r="E35" s="50" t="s">
        <v>66</v>
      </c>
      <c r="F35" s="30">
        <f>IF(E35="", "", VLOOKUP(E35,'[1]Materials Table'!$A$1:$N$30, 14, FALSE))</f>
        <v>0.46</v>
      </c>
      <c r="G35" s="30">
        <f t="shared" ref="G35:G45" si="5">IF(E35="", "", ROUND(D35*F35,0))</f>
        <v>2</v>
      </c>
      <c r="I35" s="28">
        <v>1.3</v>
      </c>
      <c r="J35" s="28">
        <v>1.3</v>
      </c>
      <c r="K35" s="30">
        <f t="shared" ref="K35:K39" si="6">ROUND(G35*I35*J35,0)</f>
        <v>3</v>
      </c>
    </row>
    <row r="36" spans="2:11" x14ac:dyDescent="0.3">
      <c r="B36" s="48" t="s">
        <v>138</v>
      </c>
      <c r="C36" s="48"/>
      <c r="D36" s="49">
        <v>280</v>
      </c>
      <c r="E36" s="50" t="s">
        <v>67</v>
      </c>
      <c r="F36" s="30">
        <f>IF(E36="", "", VLOOKUP(E36,'[1]Materials Table'!$A$1:$N$30, 14, FALSE))</f>
        <v>0.5</v>
      </c>
      <c r="G36" s="30">
        <f t="shared" si="5"/>
        <v>140</v>
      </c>
      <c r="I36" s="28">
        <v>1.3</v>
      </c>
      <c r="J36" s="28">
        <v>1.3</v>
      </c>
      <c r="K36" s="30">
        <f t="shared" si="6"/>
        <v>237</v>
      </c>
    </row>
    <row r="37" spans="2:11" x14ac:dyDescent="0.3">
      <c r="B37" s="48" t="s">
        <v>139</v>
      </c>
      <c r="C37" s="48"/>
      <c r="D37" s="49">
        <v>2.5</v>
      </c>
      <c r="E37" s="50" t="s">
        <v>42</v>
      </c>
      <c r="F37" s="30">
        <f>IF(E37="", "", VLOOKUP(E37,'[1]Materials Table'!$A$1:$N$30, 14, FALSE))</f>
        <v>2.67</v>
      </c>
      <c r="G37" s="30">
        <f t="shared" si="5"/>
        <v>7</v>
      </c>
      <c r="I37" s="28">
        <v>1.3</v>
      </c>
      <c r="J37" s="28">
        <v>1.3</v>
      </c>
      <c r="K37" s="30">
        <f t="shared" si="6"/>
        <v>12</v>
      </c>
    </row>
    <row r="38" spans="2:11" x14ac:dyDescent="0.3">
      <c r="B38" s="48" t="s">
        <v>140</v>
      </c>
      <c r="C38" s="48"/>
      <c r="D38" s="49">
        <v>1</v>
      </c>
      <c r="E38" s="50" t="s">
        <v>63</v>
      </c>
      <c r="F38" s="30">
        <f>IF(E38="", "", VLOOKUP(E38,'[1]Materials Table'!$A$1:$N$30, 14, FALSE))</f>
        <v>6.67</v>
      </c>
      <c r="G38" s="30">
        <f t="shared" si="5"/>
        <v>7</v>
      </c>
      <c r="H38" s="22" t="s">
        <v>227</v>
      </c>
      <c r="I38" s="28">
        <v>1.3</v>
      </c>
      <c r="J38" s="28">
        <v>1.3</v>
      </c>
      <c r="K38" s="30">
        <f t="shared" si="6"/>
        <v>12</v>
      </c>
    </row>
    <row r="39" spans="2:11" ht="15.6" x14ac:dyDescent="0.3">
      <c r="B39" s="48" t="s">
        <v>141</v>
      </c>
      <c r="C39" s="48"/>
      <c r="D39" s="49">
        <v>7</v>
      </c>
      <c r="E39" s="52" t="s">
        <v>42</v>
      </c>
      <c r="F39" s="30">
        <f>IF(E39="", "", VLOOKUP(E39,'[1]Materials Table'!$A$1:$N$30, 14, FALSE))</f>
        <v>2.67</v>
      </c>
      <c r="G39" s="30">
        <f t="shared" si="5"/>
        <v>19</v>
      </c>
      <c r="I39" s="28">
        <v>1.3</v>
      </c>
      <c r="J39" s="28">
        <v>1.3</v>
      </c>
      <c r="K39" s="30">
        <f t="shared" si="6"/>
        <v>32</v>
      </c>
    </row>
    <row r="40" spans="2:11" ht="15.6" x14ac:dyDescent="0.3">
      <c r="B40" s="48" t="s">
        <v>232</v>
      </c>
      <c r="C40" s="48"/>
      <c r="D40" s="49">
        <v>2.8</v>
      </c>
      <c r="E40" s="52" t="s">
        <v>30</v>
      </c>
      <c r="F40" s="30">
        <f>IF(E40="", "", VLOOKUP(E40,'[1]Materials Table'!$A$1:$N$30, 14, FALSE))</f>
        <v>3.76</v>
      </c>
      <c r="G40" s="30">
        <f t="shared" si="5"/>
        <v>11</v>
      </c>
      <c r="I40" s="28"/>
      <c r="J40" s="28"/>
      <c r="K40" s="30"/>
    </row>
    <row r="41" spans="2:11" x14ac:dyDescent="0.3">
      <c r="B41" s="53" t="s">
        <v>142</v>
      </c>
      <c r="C41" s="53" t="s">
        <v>143</v>
      </c>
      <c r="D41" s="54">
        <f>28*3</f>
        <v>84</v>
      </c>
      <c r="E41" s="55" t="s">
        <v>48</v>
      </c>
      <c r="F41" s="54">
        <f>IF(E41="", "", VLOOKUP(E41,'[1]Materials Table'!$A$1:$N$30, 14, FALSE))</f>
        <v>0.88</v>
      </c>
      <c r="G41" s="54">
        <f t="shared" si="5"/>
        <v>74</v>
      </c>
      <c r="I41" s="54">
        <v>1</v>
      </c>
      <c r="J41" s="54">
        <v>1.3</v>
      </c>
      <c r="K41" s="54">
        <f>ROUND(G41*I41*J41,0)</f>
        <v>96</v>
      </c>
    </row>
    <row r="42" spans="2:11" x14ac:dyDescent="0.3">
      <c r="B42" s="53" t="s">
        <v>144</v>
      </c>
      <c r="C42" s="53" t="s">
        <v>145</v>
      </c>
      <c r="D42" s="54">
        <f>18*2</f>
        <v>36</v>
      </c>
      <c r="E42" s="55" t="s">
        <v>40</v>
      </c>
      <c r="F42" s="54">
        <f>IF(E42="", "", VLOOKUP(E42,'[1]Materials Table'!$A$1:$N$30, 14, FALSE))</f>
        <v>0.78</v>
      </c>
      <c r="G42" s="54">
        <f t="shared" si="5"/>
        <v>28</v>
      </c>
      <c r="I42" s="54">
        <v>1</v>
      </c>
      <c r="J42" s="54">
        <v>1.3</v>
      </c>
      <c r="K42" s="54">
        <f t="shared" ref="K42:K45" si="7">ROUND(G42*I42*J42,0)</f>
        <v>36</v>
      </c>
    </row>
    <row r="43" spans="2:11" x14ac:dyDescent="0.3">
      <c r="B43" s="48" t="s">
        <v>233</v>
      </c>
      <c r="C43" s="48"/>
      <c r="D43" s="49">
        <v>8.5</v>
      </c>
      <c r="E43" s="50"/>
      <c r="F43" s="49"/>
      <c r="G43" s="49"/>
      <c r="I43" s="54"/>
      <c r="J43" s="54"/>
      <c r="K43" s="54"/>
    </row>
    <row r="44" spans="2:11" x14ac:dyDescent="0.3">
      <c r="B44" s="48" t="s">
        <v>126</v>
      </c>
      <c r="C44" s="48"/>
      <c r="D44" s="49">
        <v>6</v>
      </c>
      <c r="E44" s="50" t="s">
        <v>61</v>
      </c>
      <c r="F44" s="30">
        <f>IF(E44="", "", VLOOKUP(E44,'[1]Materials Table'!$A$1:$N$30, 14, FALSE))</f>
        <v>4.41</v>
      </c>
      <c r="G44" s="30">
        <f t="shared" si="5"/>
        <v>26</v>
      </c>
      <c r="I44" s="28">
        <v>1.3</v>
      </c>
      <c r="J44" s="28">
        <v>1.3</v>
      </c>
      <c r="K44" s="30">
        <f t="shared" si="7"/>
        <v>44</v>
      </c>
    </row>
    <row r="45" spans="2:11" x14ac:dyDescent="0.3">
      <c r="B45" s="48" t="s">
        <v>128</v>
      </c>
      <c r="C45" s="48"/>
      <c r="D45" s="49">
        <v>2</v>
      </c>
      <c r="E45" s="50" t="s">
        <v>61</v>
      </c>
      <c r="F45" s="30">
        <f>IF(E45="", "", VLOOKUP(E45,'[1]Materials Table'!$A$1:$N$30, 14, FALSE))</f>
        <v>4.41</v>
      </c>
      <c r="G45" s="30">
        <f t="shared" si="5"/>
        <v>9</v>
      </c>
      <c r="I45" s="28">
        <v>1.3</v>
      </c>
      <c r="J45" s="28">
        <v>1.3</v>
      </c>
      <c r="K45" s="30">
        <f t="shared" si="7"/>
        <v>15</v>
      </c>
    </row>
    <row r="46" spans="2:11" x14ac:dyDescent="0.3">
      <c r="B46" s="24" t="s">
        <v>146</v>
      </c>
    </row>
    <row r="47" spans="2:11" x14ac:dyDescent="0.3">
      <c r="B47" s="27" t="s">
        <v>147</v>
      </c>
      <c r="C47" s="27"/>
      <c r="D47" s="28">
        <v>29</v>
      </c>
      <c r="E47" s="29" t="s">
        <v>60</v>
      </c>
      <c r="F47" s="30">
        <f>IF(E47="", "", VLOOKUP(E47,'[1]Materials Table'!$A$1:$N$30, 14, FALSE))</f>
        <v>3.27</v>
      </c>
      <c r="G47" s="30">
        <f t="shared" ref="G47:G51" si="8">IF(E47="", "", ROUND(D47*F47,0))</f>
        <v>95</v>
      </c>
      <c r="I47" s="28">
        <v>1.6</v>
      </c>
      <c r="J47" s="28">
        <v>1.3</v>
      </c>
      <c r="K47" s="30">
        <f t="shared" ref="K47:K50" si="9">ROUND(G47*I47*J47,0)</f>
        <v>198</v>
      </c>
    </row>
    <row r="48" spans="2:11" x14ac:dyDescent="0.3">
      <c r="B48" s="27" t="s">
        <v>148</v>
      </c>
      <c r="C48" s="27"/>
      <c r="D48" s="28">
        <v>7</v>
      </c>
      <c r="E48" s="29" t="s">
        <v>60</v>
      </c>
      <c r="F48" s="30">
        <f>IF(E48="", "", VLOOKUP(E48,'[1]Materials Table'!$A$1:$N$30, 14, FALSE))</f>
        <v>3.27</v>
      </c>
      <c r="G48" s="30">
        <f t="shared" si="8"/>
        <v>23</v>
      </c>
      <c r="I48" s="28">
        <v>1.6</v>
      </c>
      <c r="J48" s="28">
        <v>1.3</v>
      </c>
      <c r="K48" s="30">
        <f t="shared" si="9"/>
        <v>48</v>
      </c>
    </row>
    <row r="49" spans="2:11" x14ac:dyDescent="0.3">
      <c r="B49" s="27" t="s">
        <v>149</v>
      </c>
      <c r="C49" s="27"/>
      <c r="D49" s="28">
        <v>35</v>
      </c>
      <c r="E49" s="29" t="s">
        <v>60</v>
      </c>
      <c r="F49" s="30">
        <f>IF(E49="", "", VLOOKUP(E49,'[1]Materials Table'!$A$1:$N$30, 14, FALSE))</f>
        <v>3.27</v>
      </c>
      <c r="G49" s="30">
        <f t="shared" si="8"/>
        <v>114</v>
      </c>
      <c r="I49" s="28">
        <v>1.6</v>
      </c>
      <c r="J49" s="28">
        <v>1.3</v>
      </c>
      <c r="K49" s="30">
        <f t="shared" si="9"/>
        <v>237</v>
      </c>
    </row>
    <row r="50" spans="2:11" ht="28.8" x14ac:dyDescent="0.3">
      <c r="B50" s="27" t="s">
        <v>150</v>
      </c>
      <c r="C50" s="27"/>
      <c r="D50" s="28">
        <v>58</v>
      </c>
      <c r="E50" s="29" t="s">
        <v>57</v>
      </c>
      <c r="F50" s="30">
        <f>IF(E50="", "", VLOOKUP(E50,'[1]Materials Table'!$A$1:$N$30, 14, FALSE))</f>
        <v>4.3600000000000003</v>
      </c>
      <c r="G50" s="30">
        <f t="shared" si="8"/>
        <v>253</v>
      </c>
      <c r="I50" s="28">
        <v>1.6</v>
      </c>
      <c r="J50" s="28">
        <v>1.3</v>
      </c>
      <c r="K50" s="30">
        <f t="shared" si="9"/>
        <v>526</v>
      </c>
    </row>
    <row r="51" spans="2:11" x14ac:dyDescent="0.3">
      <c r="B51" s="27" t="s">
        <v>151</v>
      </c>
      <c r="C51" s="27"/>
      <c r="D51" s="28">
        <v>70</v>
      </c>
      <c r="E51" s="29" t="s">
        <v>60</v>
      </c>
      <c r="F51" s="30">
        <f>IF(E51="", "", VLOOKUP(E51,'[1]Materials Table'!$A$1:$N$30, 14, FALSE))</f>
        <v>3.27</v>
      </c>
      <c r="G51" s="30">
        <f t="shared" si="8"/>
        <v>229</v>
      </c>
      <c r="I51" s="28">
        <v>1.6</v>
      </c>
      <c r="J51" s="28">
        <v>1.3</v>
      </c>
      <c r="K51" s="30">
        <f>ROUND(G51*I51*J51,0)</f>
        <v>476</v>
      </c>
    </row>
    <row r="56" spans="2:11" x14ac:dyDescent="0.3">
      <c r="C56" s="32" t="s">
        <v>152</v>
      </c>
    </row>
    <row r="57" spans="2:11" x14ac:dyDescent="0.3">
      <c r="B57" s="32" t="s">
        <v>234</v>
      </c>
      <c r="C57" s="32">
        <f>SUM(K34:K51)</f>
        <v>2302</v>
      </c>
      <c r="D57" s="33" t="s">
        <v>153</v>
      </c>
    </row>
    <row r="62" spans="2:11" x14ac:dyDescent="0.3">
      <c r="B62" s="24" t="s">
        <v>235</v>
      </c>
    </row>
    <row r="63" spans="2:11" ht="28.8" x14ac:dyDescent="0.3">
      <c r="B63" s="7" t="s">
        <v>113</v>
      </c>
      <c r="C63" s="7" t="s">
        <v>114</v>
      </c>
      <c r="D63" s="6" t="s">
        <v>115</v>
      </c>
      <c r="E63" s="6" t="s">
        <v>116</v>
      </c>
      <c r="F63" s="6" t="s">
        <v>117</v>
      </c>
      <c r="G63" s="6" t="s">
        <v>118</v>
      </c>
      <c r="H63" s="23"/>
      <c r="I63" s="6" t="s">
        <v>119</v>
      </c>
      <c r="J63" s="6" t="s">
        <v>120</v>
      </c>
      <c r="K63" s="6" t="s">
        <v>121</v>
      </c>
    </row>
    <row r="64" spans="2:11" x14ac:dyDescent="0.3">
      <c r="B64" s="48" t="s">
        <v>236</v>
      </c>
      <c r="C64" s="48"/>
      <c r="D64" s="49">
        <v>280</v>
      </c>
      <c r="E64" s="50" t="s">
        <v>67</v>
      </c>
      <c r="F64" s="30">
        <f>IF(E64="", "", VLOOKUP(E64,'[1]Materials Table'!$A$1:$N$30, 14, FALSE))</f>
        <v>0.5</v>
      </c>
      <c r="G64" s="30">
        <f>IF(E64="", "", ROUND(D64*F64,0))</f>
        <v>140</v>
      </c>
      <c r="I64" s="28">
        <v>1.3</v>
      </c>
      <c r="J64" s="28">
        <v>1.3</v>
      </c>
      <c r="K64" s="30">
        <f>ROUND(G64*I64*J64,0)</f>
        <v>237</v>
      </c>
    </row>
    <row r="65" spans="2:11" x14ac:dyDescent="0.3">
      <c r="B65" s="48" t="s">
        <v>237</v>
      </c>
      <c r="C65" s="48"/>
      <c r="D65" s="49">
        <v>175</v>
      </c>
      <c r="E65" s="50" t="s">
        <v>66</v>
      </c>
      <c r="F65" s="30">
        <f>IF(E65="", "", VLOOKUP(E65,'[1]Materials Table'!$A$1:$N$30, 14, FALSE))</f>
        <v>0.46</v>
      </c>
      <c r="G65" s="30">
        <f>IF(E65="", "", ROUND(D65*F65,0))</f>
        <v>81</v>
      </c>
      <c r="I65" s="28">
        <v>1.3</v>
      </c>
      <c r="J65" s="28">
        <v>1.3</v>
      </c>
      <c r="K65" s="30">
        <f>ROUND(G65*I65*J65,0)</f>
        <v>137</v>
      </c>
    </row>
    <row r="66" spans="2:11" x14ac:dyDescent="0.3">
      <c r="B66" s="48" t="s">
        <v>226</v>
      </c>
      <c r="C66" s="48"/>
      <c r="D66" s="49">
        <v>9.6999999999999993</v>
      </c>
      <c r="E66" s="50" t="s">
        <v>66</v>
      </c>
      <c r="F66" s="30">
        <f>IF(E66="", "", VLOOKUP(E66,'[1]Materials Table'!$A$1:$N$30, 14, FALSE))</f>
        <v>0.46</v>
      </c>
      <c r="G66" s="30">
        <f t="shared" ref="G66:G76" si="10">IF(E66="", "", ROUND(D66*F66,0))</f>
        <v>4</v>
      </c>
      <c r="I66" s="28">
        <v>1.3</v>
      </c>
      <c r="J66" s="28">
        <v>1.3</v>
      </c>
      <c r="K66" s="30">
        <f t="shared" ref="K66:K70" si="11">ROUND(G66*I66*J66,0)</f>
        <v>7</v>
      </c>
    </row>
    <row r="67" spans="2:11" x14ac:dyDescent="0.3">
      <c r="B67" s="48" t="s">
        <v>138</v>
      </c>
      <c r="C67" s="48"/>
      <c r="D67" s="49">
        <v>350</v>
      </c>
      <c r="E67" s="50" t="s">
        <v>67</v>
      </c>
      <c r="F67" s="30">
        <f>IF(E67="", "", VLOOKUP(E67,'[1]Materials Table'!$A$1:$N$30, 14, FALSE))</f>
        <v>0.5</v>
      </c>
      <c r="G67" s="30">
        <f t="shared" si="10"/>
        <v>175</v>
      </c>
      <c r="I67" s="28">
        <v>1.3</v>
      </c>
      <c r="J67" s="28">
        <v>1.3</v>
      </c>
      <c r="K67" s="30">
        <f t="shared" si="11"/>
        <v>296</v>
      </c>
    </row>
    <row r="68" spans="2:11" x14ac:dyDescent="0.3">
      <c r="B68" s="48" t="s">
        <v>139</v>
      </c>
      <c r="C68" s="48"/>
      <c r="D68" s="49">
        <v>2.7</v>
      </c>
      <c r="E68" s="50" t="s">
        <v>42</v>
      </c>
      <c r="F68" s="30">
        <f>IF(E68="", "", VLOOKUP(E68,'[1]Materials Table'!$A$1:$N$30, 14, FALSE))</f>
        <v>2.67</v>
      </c>
      <c r="G68" s="30">
        <f t="shared" si="10"/>
        <v>7</v>
      </c>
      <c r="I68" s="28">
        <v>1.3</v>
      </c>
      <c r="J68" s="28">
        <v>1.3</v>
      </c>
      <c r="K68" s="30">
        <f t="shared" si="11"/>
        <v>12</v>
      </c>
    </row>
    <row r="69" spans="2:11" x14ac:dyDescent="0.3">
      <c r="B69" s="48" t="s">
        <v>140</v>
      </c>
      <c r="C69" s="48"/>
      <c r="D69" s="49">
        <v>1.1000000000000001</v>
      </c>
      <c r="E69" s="50" t="s">
        <v>63</v>
      </c>
      <c r="F69" s="30">
        <f>IF(E69="", "", VLOOKUP(E69,'[1]Materials Table'!$A$1:$N$30, 14, FALSE))</f>
        <v>6.67</v>
      </c>
      <c r="G69" s="30">
        <f t="shared" si="10"/>
        <v>7</v>
      </c>
      <c r="H69" s="22" t="s">
        <v>227</v>
      </c>
      <c r="I69" s="28">
        <v>1.3</v>
      </c>
      <c r="J69" s="28">
        <v>1.3</v>
      </c>
      <c r="K69" s="30">
        <f t="shared" si="11"/>
        <v>12</v>
      </c>
    </row>
    <row r="70" spans="2:11" ht="15.6" x14ac:dyDescent="0.3">
      <c r="B70" s="48" t="s">
        <v>141</v>
      </c>
      <c r="C70" s="48"/>
      <c r="D70" s="49">
        <v>7.6</v>
      </c>
      <c r="E70" s="52" t="s">
        <v>42</v>
      </c>
      <c r="F70" s="30">
        <f>IF(E70="", "", VLOOKUP(E70,'[1]Materials Table'!$A$1:$N$30, 14, FALSE))</f>
        <v>2.67</v>
      </c>
      <c r="G70" s="30">
        <f t="shared" si="10"/>
        <v>20</v>
      </c>
      <c r="I70" s="28">
        <v>1.3</v>
      </c>
      <c r="J70" s="28">
        <v>1.3</v>
      </c>
      <c r="K70" s="30">
        <f t="shared" si="11"/>
        <v>34</v>
      </c>
    </row>
    <row r="71" spans="2:11" ht="15.6" x14ac:dyDescent="0.3">
      <c r="B71" s="48" t="s">
        <v>232</v>
      </c>
      <c r="C71" s="48"/>
      <c r="D71" s="49">
        <v>3.4</v>
      </c>
      <c r="E71" s="52" t="s">
        <v>30</v>
      </c>
      <c r="F71" s="30">
        <f>IF(E71="", "", VLOOKUP(E71,'[1]Materials Table'!$A$1:$N$30, 14, FALSE))</f>
        <v>3.76</v>
      </c>
      <c r="G71" s="30">
        <f t="shared" si="10"/>
        <v>13</v>
      </c>
      <c r="I71" s="28"/>
      <c r="J71" s="28"/>
      <c r="K71" s="30"/>
    </row>
    <row r="72" spans="2:11" x14ac:dyDescent="0.3">
      <c r="B72" s="53" t="s">
        <v>142</v>
      </c>
      <c r="C72" s="53" t="s">
        <v>143</v>
      </c>
      <c r="D72" s="54">
        <f>28*3</f>
        <v>84</v>
      </c>
      <c r="E72" s="55" t="s">
        <v>48</v>
      </c>
      <c r="F72" s="30">
        <f>IF(E72="", "", VLOOKUP(E72,'[1]Materials Table'!$A$1:$N$30, 14, FALSE))</f>
        <v>0.88</v>
      </c>
      <c r="G72" s="30">
        <f t="shared" si="10"/>
        <v>74</v>
      </c>
      <c r="I72" s="54">
        <v>1</v>
      </c>
      <c r="J72" s="54">
        <v>1.3</v>
      </c>
      <c r="K72" s="54">
        <f>ROUND(G72*I72*J72,0)</f>
        <v>96</v>
      </c>
    </row>
    <row r="73" spans="2:11" x14ac:dyDescent="0.3">
      <c r="B73" s="53" t="s">
        <v>144</v>
      </c>
      <c r="C73" s="53" t="s">
        <v>145</v>
      </c>
      <c r="D73" s="54">
        <f>18*2</f>
        <v>36</v>
      </c>
      <c r="E73" s="55" t="s">
        <v>40</v>
      </c>
      <c r="F73" s="54">
        <f>IF(E73="", "", VLOOKUP(E73,'[1]Materials Table'!$A$1:$N$30, 14, FALSE))</f>
        <v>0.78</v>
      </c>
      <c r="G73" s="54">
        <f t="shared" si="10"/>
        <v>28</v>
      </c>
      <c r="I73" s="54">
        <v>1</v>
      </c>
      <c r="J73" s="54">
        <v>1.3</v>
      </c>
      <c r="K73" s="54">
        <f t="shared" ref="K73" si="12">ROUND(G73*I73*J73,0)</f>
        <v>36</v>
      </c>
    </row>
    <row r="74" spans="2:11" x14ac:dyDescent="0.3">
      <c r="B74" s="48" t="s">
        <v>233</v>
      </c>
      <c r="C74" s="48"/>
      <c r="D74" s="49">
        <v>8.5</v>
      </c>
      <c r="E74" s="50"/>
      <c r="F74" s="49"/>
      <c r="G74" s="49"/>
      <c r="I74" s="28"/>
      <c r="J74" s="28"/>
      <c r="K74" s="51"/>
    </row>
    <row r="75" spans="2:11" x14ac:dyDescent="0.3">
      <c r="B75" s="48" t="s">
        <v>126</v>
      </c>
      <c r="C75" s="48"/>
      <c r="D75" s="49">
        <v>6</v>
      </c>
      <c r="E75" s="50" t="s">
        <v>61</v>
      </c>
      <c r="F75" s="30">
        <f>IF(E75="", "", VLOOKUP(E75,'[1]Materials Table'!$A$1:$N$30, 14, FALSE))</f>
        <v>4.41</v>
      </c>
      <c r="G75" s="30">
        <f t="shared" si="10"/>
        <v>26</v>
      </c>
      <c r="I75" s="28">
        <v>1.3</v>
      </c>
      <c r="J75" s="28">
        <v>1.3</v>
      </c>
      <c r="K75" s="30">
        <f>ROUND(G75*I75*J75,0)</f>
        <v>44</v>
      </c>
    </row>
    <row r="76" spans="2:11" x14ac:dyDescent="0.3">
      <c r="B76" s="48" t="s">
        <v>128</v>
      </c>
      <c r="C76" s="48"/>
      <c r="D76" s="49">
        <v>2</v>
      </c>
      <c r="E76" s="50" t="s">
        <v>61</v>
      </c>
      <c r="F76" s="30">
        <f>IF(E76="", "", VLOOKUP(E76,'[1]Materials Table'!$A$1:$N$30, 14, FALSE))</f>
        <v>4.41</v>
      </c>
      <c r="G76" s="30">
        <f t="shared" si="10"/>
        <v>9</v>
      </c>
      <c r="I76" s="28">
        <v>1.3</v>
      </c>
      <c r="J76" s="28">
        <v>1.3</v>
      </c>
      <c r="K76" s="30">
        <f>ROUND(G76*I76*J76,0)</f>
        <v>15</v>
      </c>
    </row>
    <row r="77" spans="2:11" x14ac:dyDescent="0.3">
      <c r="B77" s="24" t="s">
        <v>146</v>
      </c>
    </row>
    <row r="78" spans="2:11" x14ac:dyDescent="0.3">
      <c r="B78" s="27" t="s">
        <v>147</v>
      </c>
      <c r="C78" s="27"/>
      <c r="D78" s="28">
        <v>29</v>
      </c>
      <c r="E78" s="29" t="s">
        <v>60</v>
      </c>
      <c r="F78" s="30">
        <f>IF(E78="", "", VLOOKUP(E78,'[1]Materials Table'!$A$1:$N$30, 14, FALSE))</f>
        <v>3.27</v>
      </c>
      <c r="G78" s="30">
        <f t="shared" ref="G78:G82" si="13">IF(E78="", "", ROUND(D78*F78,0))</f>
        <v>95</v>
      </c>
      <c r="I78" s="28">
        <v>1.6</v>
      </c>
      <c r="J78" s="28">
        <v>1.3</v>
      </c>
      <c r="K78" s="30">
        <f>ROUND(G78*I78*J78,0)</f>
        <v>198</v>
      </c>
    </row>
    <row r="79" spans="2:11" x14ac:dyDescent="0.3">
      <c r="B79" s="27" t="s">
        <v>148</v>
      </c>
      <c r="C79" s="27"/>
      <c r="D79" s="28">
        <v>7</v>
      </c>
      <c r="E79" s="29" t="s">
        <v>60</v>
      </c>
      <c r="F79" s="30">
        <f>IF(E79="", "", VLOOKUP(E79,'[1]Materials Table'!$A$1:$N$30, 14, FALSE))</f>
        <v>3.27</v>
      </c>
      <c r="G79" s="30">
        <f t="shared" si="13"/>
        <v>23</v>
      </c>
      <c r="I79" s="28">
        <v>1.6</v>
      </c>
      <c r="J79" s="28">
        <v>1.3</v>
      </c>
      <c r="K79" s="30">
        <f>ROUND(G79*I79*J79,0)</f>
        <v>48</v>
      </c>
    </row>
    <row r="80" spans="2:11" x14ac:dyDescent="0.3">
      <c r="B80" s="27" t="s">
        <v>149</v>
      </c>
      <c r="C80" s="27"/>
      <c r="D80" s="28">
        <v>35</v>
      </c>
      <c r="E80" s="29" t="s">
        <v>60</v>
      </c>
      <c r="F80" s="30">
        <f>IF(E80="", "", VLOOKUP(E80,'[1]Materials Table'!$A$1:$N$30, 14, FALSE))</f>
        <v>3.27</v>
      </c>
      <c r="G80" s="30">
        <f t="shared" si="13"/>
        <v>114</v>
      </c>
      <c r="I80" s="28">
        <v>1.6</v>
      </c>
      <c r="J80" s="28">
        <v>1.3</v>
      </c>
      <c r="K80" s="30">
        <f>ROUND(G80*I80*J80,0)</f>
        <v>237</v>
      </c>
    </row>
    <row r="81" spans="2:11" ht="28.8" x14ac:dyDescent="0.3">
      <c r="B81" s="27" t="s">
        <v>150</v>
      </c>
      <c r="C81" s="27"/>
      <c r="D81" s="28">
        <v>58</v>
      </c>
      <c r="E81" s="29" t="s">
        <v>57</v>
      </c>
      <c r="F81" s="30">
        <f>IF(E81="", "", VLOOKUP(E81,'[1]Materials Table'!$A$1:$N$30, 14, FALSE))</f>
        <v>4.3600000000000003</v>
      </c>
      <c r="G81" s="30">
        <f t="shared" si="13"/>
        <v>253</v>
      </c>
      <c r="I81" s="28">
        <v>1.6</v>
      </c>
      <c r="J81" s="28">
        <v>1.3</v>
      </c>
      <c r="K81" s="30">
        <f>ROUND(G81*I81*J81,0)</f>
        <v>526</v>
      </c>
    </row>
    <row r="82" spans="2:11" x14ac:dyDescent="0.3">
      <c r="B82" s="27" t="s">
        <v>151</v>
      </c>
      <c r="C82" s="27"/>
      <c r="D82" s="28">
        <v>70</v>
      </c>
      <c r="E82" s="29" t="s">
        <v>60</v>
      </c>
      <c r="F82" s="30">
        <f>IF(E82="", "", VLOOKUP(E82,'[1]Materials Table'!$A$1:$N$30, 14, FALSE))</f>
        <v>3.27</v>
      </c>
      <c r="G82" s="30">
        <f t="shared" si="13"/>
        <v>229</v>
      </c>
      <c r="I82" s="28">
        <v>1.6</v>
      </c>
      <c r="J82" s="28">
        <v>1.3</v>
      </c>
      <c r="K82" s="30">
        <f>ROUND(G82*I82*J82,0)</f>
        <v>476</v>
      </c>
    </row>
    <row r="87" spans="2:11" x14ac:dyDescent="0.3">
      <c r="C87" s="32" t="s">
        <v>152</v>
      </c>
    </row>
    <row r="88" spans="2:11" x14ac:dyDescent="0.3">
      <c r="B88" s="32" t="s">
        <v>238</v>
      </c>
      <c r="C88" s="32">
        <f>SUM(K64:K82)</f>
        <v>2411</v>
      </c>
      <c r="D88" s="33" t="s">
        <v>153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B18C-23DF-44E5-B97E-7F4CECA16E1D}">
  <sheetPr>
    <tabColor theme="9" tint="0.39997558519241921"/>
  </sheetPr>
  <dimension ref="B1:K19"/>
  <sheetViews>
    <sheetView zoomScaleNormal="100" workbookViewId="0">
      <selection activeCell="F51" sqref="F51"/>
    </sheetView>
  </sheetViews>
  <sheetFormatPr defaultColWidth="8.77734375" defaultRowHeight="14.4" x14ac:dyDescent="0.3"/>
  <cols>
    <col min="1" max="1" width="8.77734375" style="22"/>
    <col min="2" max="2" width="32.77734375" style="24" bestFit="1" customWidth="1"/>
    <col min="3" max="3" width="33.5546875" style="24" customWidth="1"/>
    <col min="4" max="4" width="17.21875" style="25" customWidth="1"/>
    <col min="5" max="5" width="23" style="26" customWidth="1"/>
    <col min="6" max="6" width="14.21875" style="25" customWidth="1"/>
    <col min="7" max="7" width="14.44140625" style="25" customWidth="1"/>
    <col min="8" max="8" width="6.21875" style="22" customWidth="1"/>
    <col min="9" max="9" width="11.77734375" style="22" customWidth="1"/>
    <col min="10" max="10" width="10.5546875" style="22" customWidth="1"/>
    <col min="11" max="11" width="15.77734375" style="25" customWidth="1"/>
    <col min="12" max="16384" width="8.77734375" style="22"/>
  </cols>
  <sheetData>
    <row r="1" spans="2:11" x14ac:dyDescent="0.3">
      <c r="B1" s="24" t="s">
        <v>154</v>
      </c>
    </row>
    <row r="2" spans="2:11" s="23" customFormat="1" ht="29.55" customHeight="1" x14ac:dyDescent="0.3">
      <c r="B2" s="7" t="s">
        <v>113</v>
      </c>
      <c r="C2" s="7" t="s">
        <v>114</v>
      </c>
      <c r="D2" s="6" t="s">
        <v>115</v>
      </c>
      <c r="E2" s="6" t="s">
        <v>116</v>
      </c>
      <c r="F2" s="6" t="s">
        <v>117</v>
      </c>
      <c r="G2" s="6" t="s">
        <v>118</v>
      </c>
      <c r="I2" s="6" t="s">
        <v>119</v>
      </c>
      <c r="J2" s="6" t="s">
        <v>120</v>
      </c>
      <c r="K2" s="6" t="s">
        <v>121</v>
      </c>
    </row>
    <row r="3" spans="2:11" x14ac:dyDescent="0.3">
      <c r="B3" s="27" t="s">
        <v>155</v>
      </c>
      <c r="C3" s="27" t="s">
        <v>156</v>
      </c>
      <c r="D3" s="28">
        <v>62</v>
      </c>
      <c r="E3" s="29" t="s">
        <v>69</v>
      </c>
      <c r="F3" s="30">
        <f>IF(E3="", "", VLOOKUP(E3,'Materials Table'!$A$1:$N$30, 14, FALSE))</f>
        <v>3.81</v>
      </c>
      <c r="G3" s="30">
        <f>IF(E3="", "", ROUND(D3*F3,0))</f>
        <v>236</v>
      </c>
      <c r="I3" s="28">
        <v>1.3</v>
      </c>
      <c r="J3" s="28">
        <v>1.3</v>
      </c>
      <c r="K3" s="30">
        <f>ROUND(G3*I3*J3,0)</f>
        <v>399</v>
      </c>
    </row>
    <row r="4" spans="2:11" x14ac:dyDescent="0.3">
      <c r="B4" s="27" t="s">
        <v>157</v>
      </c>
      <c r="C4" s="27"/>
      <c r="D4" s="28">
        <v>62</v>
      </c>
      <c r="E4" s="29" t="s">
        <v>82</v>
      </c>
      <c r="F4" s="30">
        <f>IF(E4="", "", VLOOKUP(E4,'Materials Table'!$A$1:$N$30, 14, FALSE))</f>
        <v>3.1</v>
      </c>
      <c r="G4" s="30">
        <f t="shared" ref="G4:G12" si="0">IF(E4="", "", ROUND(D4*F4,0))</f>
        <v>192</v>
      </c>
      <c r="I4" s="28">
        <v>1.3</v>
      </c>
      <c r="J4" s="28">
        <v>1.3</v>
      </c>
      <c r="K4" s="30">
        <f t="shared" ref="K4:K12" si="1">ROUND(G4*I4*J4,0)</f>
        <v>324</v>
      </c>
    </row>
    <row r="5" spans="2:11" x14ac:dyDescent="0.3">
      <c r="B5" s="27" t="s">
        <v>158</v>
      </c>
      <c r="C5" s="27" t="s">
        <v>159</v>
      </c>
      <c r="D5" s="28">
        <v>3.74</v>
      </c>
      <c r="E5" s="29" t="s">
        <v>73</v>
      </c>
      <c r="F5" s="30">
        <f>IF(E5="", "", VLOOKUP(E5,'Materials Table'!$A$1:$N$30, 14, FALSE))</f>
        <v>2.76</v>
      </c>
      <c r="G5" s="30">
        <f t="shared" si="0"/>
        <v>10</v>
      </c>
      <c r="I5" s="28">
        <v>1.3</v>
      </c>
      <c r="J5" s="28">
        <v>1.3</v>
      </c>
      <c r="K5" s="30">
        <f t="shared" si="1"/>
        <v>17</v>
      </c>
    </row>
    <row r="6" spans="2:11" x14ac:dyDescent="0.3">
      <c r="B6" s="27" t="s">
        <v>160</v>
      </c>
      <c r="C6" s="27"/>
      <c r="D6" s="28">
        <v>3.74</v>
      </c>
      <c r="E6" s="29" t="s">
        <v>75</v>
      </c>
      <c r="F6" s="30">
        <f>IF(E6="", "", VLOOKUP(E6,'Materials Table'!$A$1:$N$30, 14, FALSE))</f>
        <v>7.62</v>
      </c>
      <c r="G6" s="30">
        <f t="shared" si="0"/>
        <v>28</v>
      </c>
      <c r="I6" s="28">
        <v>1.3</v>
      </c>
      <c r="J6" s="28">
        <v>1.3</v>
      </c>
      <c r="K6" s="30">
        <f t="shared" si="1"/>
        <v>47</v>
      </c>
    </row>
    <row r="7" spans="2:11" x14ac:dyDescent="0.3">
      <c r="B7" s="27" t="s">
        <v>161</v>
      </c>
      <c r="C7" s="27"/>
      <c r="D7" s="28">
        <v>4.6500000000000004</v>
      </c>
      <c r="E7" s="29" t="s">
        <v>42</v>
      </c>
      <c r="F7" s="30">
        <f>IF(E7="", "", VLOOKUP(E7,'Materials Table'!$A$1:$N$30, 14, FALSE))</f>
        <v>2.67</v>
      </c>
      <c r="G7" s="30">
        <f t="shared" si="0"/>
        <v>12</v>
      </c>
      <c r="I7" s="28">
        <v>1.3</v>
      </c>
      <c r="J7" s="28">
        <v>1.3</v>
      </c>
      <c r="K7" s="30">
        <f t="shared" si="1"/>
        <v>20</v>
      </c>
    </row>
    <row r="8" spans="2:11" x14ac:dyDescent="0.3">
      <c r="B8" s="27" t="s">
        <v>162</v>
      </c>
      <c r="C8" s="27"/>
      <c r="D8" s="28">
        <v>1.6</v>
      </c>
      <c r="E8" s="29" t="s">
        <v>61</v>
      </c>
      <c r="F8" s="30">
        <f>IF(E8="", "", VLOOKUP(E8,'Materials Table'!$A$1:$N$30, 14, FALSE))</f>
        <v>4.41</v>
      </c>
      <c r="G8" s="30">
        <f t="shared" si="0"/>
        <v>7</v>
      </c>
      <c r="I8" s="28">
        <v>1.3</v>
      </c>
      <c r="J8" s="28">
        <v>1.3</v>
      </c>
      <c r="K8" s="30">
        <f t="shared" si="1"/>
        <v>12</v>
      </c>
    </row>
    <row r="9" spans="2:11" x14ac:dyDescent="0.3">
      <c r="B9" s="27" t="s">
        <v>162</v>
      </c>
      <c r="C9" s="27"/>
      <c r="D9" s="28">
        <v>1.2</v>
      </c>
      <c r="E9" s="29" t="s">
        <v>75</v>
      </c>
      <c r="F9" s="30">
        <f>IF(E9="", "", VLOOKUP(E9,'Materials Table'!$A$1:$N$30, 14, FALSE))</f>
        <v>7.62</v>
      </c>
      <c r="G9" s="30">
        <f t="shared" si="0"/>
        <v>9</v>
      </c>
      <c r="I9" s="28">
        <v>1.3</v>
      </c>
      <c r="J9" s="28">
        <v>1.3</v>
      </c>
      <c r="K9" s="30">
        <f>ROUND(G9*I9*J9,0)</f>
        <v>15</v>
      </c>
    </row>
    <row r="10" spans="2:11" x14ac:dyDescent="0.3">
      <c r="B10" s="27" t="s">
        <v>163</v>
      </c>
      <c r="C10" s="27"/>
      <c r="D10" s="28">
        <v>1.5</v>
      </c>
      <c r="E10" s="29" t="s">
        <v>68</v>
      </c>
      <c r="F10" s="30">
        <f>IF(E10="", "", VLOOKUP(E10,'Materials Table'!$A$1:$N$30, 14, FALSE))</f>
        <v>5.65</v>
      </c>
      <c r="G10" s="30">
        <f t="shared" si="0"/>
        <v>8</v>
      </c>
      <c r="I10" s="28">
        <v>1.3</v>
      </c>
      <c r="J10" s="28">
        <v>1.3</v>
      </c>
      <c r="K10" s="30">
        <f t="shared" si="1"/>
        <v>14</v>
      </c>
    </row>
    <row r="11" spans="2:11" x14ac:dyDescent="0.3">
      <c r="B11" s="27" t="s">
        <v>164</v>
      </c>
      <c r="C11" s="27"/>
      <c r="D11" s="28">
        <v>4.8</v>
      </c>
      <c r="E11" s="29" t="s">
        <v>68</v>
      </c>
      <c r="F11" s="30">
        <f>IF(E11="", "", VLOOKUP(E11,'Materials Table'!$A$1:$N$30, 14, FALSE))</f>
        <v>5.65</v>
      </c>
      <c r="G11" s="30">
        <f t="shared" si="0"/>
        <v>27</v>
      </c>
      <c r="I11" s="28">
        <v>1.3</v>
      </c>
      <c r="J11" s="28">
        <v>1.3</v>
      </c>
      <c r="K11" s="30">
        <f t="shared" si="1"/>
        <v>46</v>
      </c>
    </row>
    <row r="12" spans="2:11" x14ac:dyDescent="0.3">
      <c r="B12" s="27" t="s">
        <v>165</v>
      </c>
      <c r="C12" s="27" t="s">
        <v>166</v>
      </c>
      <c r="D12" s="28">
        <f>1.9*2</f>
        <v>3.8</v>
      </c>
      <c r="E12" s="29" t="s">
        <v>68</v>
      </c>
      <c r="F12" s="30">
        <f>IF(E12="", "", VLOOKUP(E12,'Materials Table'!$A$1:$N$30, 14, FALSE))</f>
        <v>5.65</v>
      </c>
      <c r="G12" s="30">
        <f t="shared" si="0"/>
        <v>21</v>
      </c>
      <c r="I12" s="28">
        <v>1.6</v>
      </c>
      <c r="J12" s="28">
        <v>1.3</v>
      </c>
      <c r="K12" s="30">
        <f t="shared" si="1"/>
        <v>44</v>
      </c>
    </row>
    <row r="17" spans="2:10" s="25" customFormat="1" x14ac:dyDescent="0.3">
      <c r="B17" s="24"/>
      <c r="C17" s="32" t="s">
        <v>152</v>
      </c>
      <c r="E17" s="26"/>
      <c r="H17" s="22"/>
      <c r="I17" s="22"/>
      <c r="J17" s="22"/>
    </row>
    <row r="18" spans="2:10" s="25" customFormat="1" x14ac:dyDescent="0.3">
      <c r="B18" s="24" t="s">
        <v>15</v>
      </c>
      <c r="C18" s="24">
        <f>SUM(K3:K12)</f>
        <v>938</v>
      </c>
      <c r="D18" s="25" t="s">
        <v>167</v>
      </c>
      <c r="E18" s="26"/>
      <c r="H18" s="22"/>
      <c r="I18" s="22"/>
      <c r="J18" s="22"/>
    </row>
    <row r="19" spans="2:10" x14ac:dyDescent="0.3">
      <c r="C19" s="36">
        <f>ROUND(C18/83,1)</f>
        <v>11.3</v>
      </c>
      <c r="D19" s="37" t="s">
        <v>168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07B91B-CBB9-4D8E-AC2D-1B31519A1816}">
          <x14:formula1>
            <xm:f>'Materials Table'!$A$2:$A$30</xm:f>
          </x14:formula1>
          <xm:sqref>E3:E12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8DCF-978D-4CBC-9271-7C165B9589AA}">
  <sheetPr>
    <tabColor theme="9" tint="0.39997558519241921"/>
  </sheetPr>
  <dimension ref="B1:K19"/>
  <sheetViews>
    <sheetView workbookViewId="0">
      <selection activeCell="G49" sqref="G49"/>
    </sheetView>
  </sheetViews>
  <sheetFormatPr defaultColWidth="8.77734375" defaultRowHeight="14.4" x14ac:dyDescent="0.3"/>
  <cols>
    <col min="1" max="1" width="8.77734375" style="22"/>
    <col min="2" max="2" width="35.77734375" style="24" bestFit="1" customWidth="1"/>
    <col min="3" max="3" width="33.5546875" style="24" customWidth="1"/>
    <col min="4" max="4" width="17.21875" style="25" customWidth="1"/>
    <col min="5" max="5" width="23" style="26" customWidth="1"/>
    <col min="6" max="6" width="14.21875" style="25" customWidth="1"/>
    <col min="7" max="7" width="14.44140625" style="25" customWidth="1"/>
    <col min="8" max="8" width="6.21875" style="22" customWidth="1"/>
    <col min="9" max="9" width="11.77734375" style="22" customWidth="1"/>
    <col min="10" max="10" width="10.5546875" style="22" customWidth="1"/>
    <col min="11" max="11" width="15.77734375" style="25" customWidth="1"/>
    <col min="12" max="16384" width="8.77734375" style="22"/>
  </cols>
  <sheetData>
    <row r="1" spans="2:11" x14ac:dyDescent="0.3">
      <c r="B1" s="24" t="s">
        <v>169</v>
      </c>
    </row>
    <row r="2" spans="2:11" s="23" customFormat="1" ht="29.55" customHeight="1" x14ac:dyDescent="0.3">
      <c r="B2" s="7" t="s">
        <v>113</v>
      </c>
      <c r="C2" s="7" t="s">
        <v>114</v>
      </c>
      <c r="D2" s="6" t="s">
        <v>115</v>
      </c>
      <c r="E2" s="6" t="s">
        <v>116</v>
      </c>
      <c r="F2" s="6" t="s">
        <v>117</v>
      </c>
      <c r="G2" s="6" t="s">
        <v>118</v>
      </c>
      <c r="I2" s="6" t="s">
        <v>119</v>
      </c>
      <c r="J2" s="6" t="s">
        <v>120</v>
      </c>
      <c r="K2" s="6" t="s">
        <v>121</v>
      </c>
    </row>
    <row r="3" spans="2:11" x14ac:dyDescent="0.3">
      <c r="B3" s="27" t="s">
        <v>170</v>
      </c>
      <c r="C3" s="27" t="s">
        <v>171</v>
      </c>
      <c r="D3" s="28">
        <v>15.2</v>
      </c>
      <c r="E3" s="29" t="s">
        <v>76</v>
      </c>
      <c r="F3" s="30">
        <f>IF(E3="", "", VLOOKUP(E3,'Materials Table'!$A$1:$N$30, 14, FALSE))</f>
        <v>4.49</v>
      </c>
      <c r="G3" s="30">
        <f>IF(E3="", "", ROUND(D3*F3,0))</f>
        <v>68</v>
      </c>
      <c r="I3" s="28">
        <v>1.3</v>
      </c>
      <c r="J3" s="28">
        <v>1.3</v>
      </c>
      <c r="K3" s="30">
        <f>ROUND(G3*I3*J3,0)</f>
        <v>115</v>
      </c>
    </row>
    <row r="4" spans="2:11" x14ac:dyDescent="0.3">
      <c r="B4" s="27" t="s">
        <v>172</v>
      </c>
      <c r="C4" s="27" t="s">
        <v>171</v>
      </c>
      <c r="D4" s="28">
        <v>10</v>
      </c>
      <c r="E4" s="29" t="s">
        <v>76</v>
      </c>
      <c r="F4" s="30">
        <f>IF(E4="", "", VLOOKUP(E4,'Materials Table'!$A$1:$N$30, 14, FALSE))</f>
        <v>4.49</v>
      </c>
      <c r="G4" s="30">
        <f t="shared" ref="G4:G12" si="0">IF(E4="", "", ROUND(D4*F4,0))</f>
        <v>45</v>
      </c>
      <c r="I4" s="28">
        <v>1.3</v>
      </c>
      <c r="J4" s="28">
        <v>1.3</v>
      </c>
      <c r="K4" s="30">
        <f t="shared" ref="K4:K7" si="1">ROUND(G4*I4*J4,0)</f>
        <v>76</v>
      </c>
    </row>
    <row r="5" spans="2:11" x14ac:dyDescent="0.3">
      <c r="B5" s="27" t="s">
        <v>173</v>
      </c>
      <c r="C5" s="27"/>
      <c r="D5" s="28">
        <v>32.5</v>
      </c>
      <c r="E5" s="29" t="s">
        <v>80</v>
      </c>
      <c r="F5" s="30">
        <f>IF(E5="", "", VLOOKUP(E5,'Materials Table'!$A$1:$N$30, 14, FALSE))</f>
        <v>3.23</v>
      </c>
      <c r="G5" s="30">
        <f t="shared" si="0"/>
        <v>105</v>
      </c>
      <c r="I5" s="28">
        <v>1.3</v>
      </c>
      <c r="J5" s="28">
        <v>1.3</v>
      </c>
      <c r="K5" s="30">
        <f t="shared" si="1"/>
        <v>177</v>
      </c>
    </row>
    <row r="6" spans="2:11" x14ac:dyDescent="0.3">
      <c r="B6" s="27" t="s">
        <v>174</v>
      </c>
      <c r="C6" s="27"/>
      <c r="D6" s="28">
        <v>4.4000000000000004</v>
      </c>
      <c r="E6" s="29" t="s">
        <v>71</v>
      </c>
      <c r="F6" s="30">
        <f>IF(E6="", "", VLOOKUP(E6,'Materials Table'!$A$1:$N$30, 14, FALSE))</f>
        <v>3.3</v>
      </c>
      <c r="G6" s="30">
        <f t="shared" si="0"/>
        <v>15</v>
      </c>
      <c r="I6" s="28">
        <v>1.3</v>
      </c>
      <c r="J6" s="28">
        <v>1.3</v>
      </c>
      <c r="K6" s="30">
        <f t="shared" si="1"/>
        <v>25</v>
      </c>
    </row>
    <row r="7" spans="2:11" x14ac:dyDescent="0.3">
      <c r="B7" s="27" t="s">
        <v>174</v>
      </c>
      <c r="C7" s="27"/>
      <c r="D7" s="28">
        <v>2.9</v>
      </c>
      <c r="E7" s="29" t="s">
        <v>76</v>
      </c>
      <c r="F7" s="30">
        <f>IF(E7="", "", VLOOKUP(E7,'Materials Table'!$A$1:$N$30, 14, FALSE))</f>
        <v>4.49</v>
      </c>
      <c r="G7" s="30">
        <f t="shared" si="0"/>
        <v>13</v>
      </c>
      <c r="I7" s="28">
        <v>1.3</v>
      </c>
      <c r="J7" s="28">
        <v>1.3</v>
      </c>
      <c r="K7" s="30">
        <f t="shared" si="1"/>
        <v>22</v>
      </c>
    </row>
    <row r="8" spans="2:11" x14ac:dyDescent="0.3">
      <c r="B8" s="27" t="s">
        <v>174</v>
      </c>
      <c r="C8" s="27"/>
      <c r="D8" s="28">
        <v>3.1</v>
      </c>
      <c r="E8" s="29" t="s">
        <v>30</v>
      </c>
      <c r="F8" s="30">
        <f>IF(E8="", "", VLOOKUP(E8,'Materials Table'!$A$1:$N$30, 14, FALSE))</f>
        <v>3.76</v>
      </c>
      <c r="G8" s="30">
        <f t="shared" si="0"/>
        <v>12</v>
      </c>
      <c r="I8" s="28">
        <v>1.3</v>
      </c>
      <c r="J8" s="28">
        <v>1.3</v>
      </c>
      <c r="K8" s="30">
        <f t="shared" ref="K8:K9" si="2">ROUND(G8*I8*J8,0)</f>
        <v>20</v>
      </c>
    </row>
    <row r="9" spans="2:11" x14ac:dyDescent="0.3">
      <c r="B9" s="27" t="s">
        <v>175</v>
      </c>
      <c r="C9" s="27"/>
      <c r="D9" s="28">
        <v>17.7</v>
      </c>
      <c r="E9" s="29" t="s">
        <v>80</v>
      </c>
      <c r="F9" s="30">
        <f>IF(E9="", "", VLOOKUP(E9,'Materials Table'!$A$1:$N$30, 14, FALSE))</f>
        <v>3.23</v>
      </c>
      <c r="G9" s="30">
        <f t="shared" si="0"/>
        <v>57</v>
      </c>
      <c r="I9" s="28">
        <v>1.3</v>
      </c>
      <c r="J9" s="28">
        <v>1.3</v>
      </c>
      <c r="K9" s="30">
        <f t="shared" si="2"/>
        <v>96</v>
      </c>
    </row>
    <row r="10" spans="2:11" x14ac:dyDescent="0.3">
      <c r="B10" s="27" t="s">
        <v>176</v>
      </c>
      <c r="C10" s="27"/>
      <c r="D10" s="28">
        <v>3</v>
      </c>
      <c r="E10" s="29" t="s">
        <v>71</v>
      </c>
      <c r="F10" s="30">
        <f>IF(E10="", "", VLOOKUP(E10,'Materials Table'!$A$1:$N$30, 14, FALSE))</f>
        <v>3.3</v>
      </c>
      <c r="G10" s="30">
        <f t="shared" si="0"/>
        <v>10</v>
      </c>
      <c r="I10" s="28">
        <v>1.3</v>
      </c>
      <c r="J10" s="28">
        <v>1.3</v>
      </c>
      <c r="K10" s="30">
        <f t="shared" ref="K10" si="3">ROUND(G10*I10*J10,0)</f>
        <v>17</v>
      </c>
    </row>
    <row r="11" spans="2:11" x14ac:dyDescent="0.3">
      <c r="B11" s="27"/>
      <c r="C11" s="27"/>
      <c r="D11" s="28"/>
      <c r="E11" s="29"/>
      <c r="F11" s="30" t="str">
        <f>IF(E11="", "", VLOOKUP(E11,'Materials Table'!$A$1:$N$30, 14, FALSE))</f>
        <v/>
      </c>
      <c r="G11" s="30" t="str">
        <f t="shared" si="0"/>
        <v/>
      </c>
      <c r="I11" s="28"/>
      <c r="J11" s="28"/>
      <c r="K11" s="30"/>
    </row>
    <row r="12" spans="2:11" x14ac:dyDescent="0.3">
      <c r="B12" s="27"/>
      <c r="C12" s="27"/>
      <c r="D12" s="28"/>
      <c r="E12" s="29"/>
      <c r="F12" s="30" t="str">
        <f>IF(E12="", "", VLOOKUP(E12,'Materials Table'!$A$1:$N$30, 14, FALSE))</f>
        <v/>
      </c>
      <c r="G12" s="30" t="str">
        <f t="shared" si="0"/>
        <v/>
      </c>
      <c r="I12" s="28"/>
      <c r="J12" s="28"/>
      <c r="K12" s="30"/>
    </row>
    <row r="17" spans="2:10" s="25" customFormat="1" x14ac:dyDescent="0.3">
      <c r="B17" s="24"/>
      <c r="C17" s="32" t="s">
        <v>152</v>
      </c>
      <c r="E17" s="26"/>
      <c r="H17" s="22"/>
      <c r="I17" s="22"/>
      <c r="J17" s="22"/>
    </row>
    <row r="18" spans="2:10" s="25" customFormat="1" x14ac:dyDescent="0.3">
      <c r="B18" s="24" t="s">
        <v>16</v>
      </c>
      <c r="C18" s="24">
        <f>SUM(K3:K12)</f>
        <v>548</v>
      </c>
      <c r="D18" s="25" t="s">
        <v>167</v>
      </c>
      <c r="E18" s="26"/>
      <c r="H18" s="22"/>
      <c r="I18" s="22"/>
      <c r="J18" s="22"/>
    </row>
    <row r="19" spans="2:10" x14ac:dyDescent="0.3">
      <c r="C19" s="36">
        <f>ROUND(C18/83,1)</f>
        <v>6.6</v>
      </c>
      <c r="D19" s="37" t="s">
        <v>168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ED4C1F-9ED5-4E46-91C3-343209E3DEB2}">
          <x14:formula1>
            <xm:f>'Materials Table'!$A$2:$A$30</xm:f>
          </x14:formula1>
          <xm:sqref>E3:E12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341F-7F5F-44A0-BD8D-68864B379708}">
  <sheetPr>
    <tabColor theme="9" tint="0.39997558519241921"/>
  </sheetPr>
  <dimension ref="B2:K19"/>
  <sheetViews>
    <sheetView workbookViewId="0">
      <selection activeCell="I41" sqref="I41"/>
    </sheetView>
  </sheetViews>
  <sheetFormatPr defaultColWidth="8.77734375" defaultRowHeight="14.4" x14ac:dyDescent="0.3"/>
  <cols>
    <col min="1" max="1" width="8.77734375" style="22"/>
    <col min="2" max="2" width="21.77734375" style="24" customWidth="1"/>
    <col min="3" max="3" width="37" style="24" customWidth="1"/>
    <col min="4" max="4" width="17.21875" style="25" customWidth="1"/>
    <col min="5" max="5" width="23" style="26" customWidth="1"/>
    <col min="6" max="6" width="14.21875" style="25" customWidth="1"/>
    <col min="7" max="7" width="14.44140625" style="25" customWidth="1"/>
    <col min="8" max="8" width="6.21875" style="22" customWidth="1"/>
    <col min="9" max="9" width="11.77734375" style="22" customWidth="1"/>
    <col min="10" max="10" width="10.5546875" style="22" customWidth="1"/>
    <col min="11" max="11" width="15.77734375" style="25" customWidth="1"/>
    <col min="12" max="16384" width="8.77734375" style="22"/>
  </cols>
  <sheetData>
    <row r="2" spans="2:11" s="23" customFormat="1" ht="29.55" customHeight="1" x14ac:dyDescent="0.3">
      <c r="B2" s="7" t="s">
        <v>113</v>
      </c>
      <c r="C2" s="7" t="s">
        <v>114</v>
      </c>
      <c r="D2" s="6" t="s">
        <v>115</v>
      </c>
      <c r="E2" s="6" t="s">
        <v>116</v>
      </c>
      <c r="F2" s="6" t="s">
        <v>117</v>
      </c>
      <c r="G2" s="6" t="s">
        <v>118</v>
      </c>
      <c r="I2" s="6" t="s">
        <v>119</v>
      </c>
      <c r="J2" s="6" t="s">
        <v>120</v>
      </c>
      <c r="K2" s="6" t="s">
        <v>121</v>
      </c>
    </row>
    <row r="3" spans="2:11" x14ac:dyDescent="0.3">
      <c r="B3" s="27" t="s">
        <v>83</v>
      </c>
      <c r="C3" s="27" t="s">
        <v>177</v>
      </c>
      <c r="D3" s="28">
        <v>50</v>
      </c>
      <c r="E3" s="29" t="s">
        <v>83</v>
      </c>
      <c r="F3" s="30">
        <f>IF(E3="", "", VLOOKUP(E3,'Materials Table'!$A$1:$N$30, 14, FALSE))</f>
        <v>2.54</v>
      </c>
      <c r="G3" s="30">
        <f>IF(E3="", "", ROUND(D3*F3,0))</f>
        <v>127</v>
      </c>
      <c r="I3" s="28">
        <v>1</v>
      </c>
      <c r="J3" s="28">
        <v>1.3</v>
      </c>
      <c r="K3" s="30">
        <f>ROUND(G3*I3*J3,0)</f>
        <v>165</v>
      </c>
    </row>
    <row r="4" spans="2:11" x14ac:dyDescent="0.3">
      <c r="B4" s="27" t="s">
        <v>142</v>
      </c>
      <c r="C4" s="27" t="s">
        <v>178</v>
      </c>
      <c r="D4" s="28">
        <f>28*2</f>
        <v>56</v>
      </c>
      <c r="E4" s="29" t="s">
        <v>48</v>
      </c>
      <c r="F4" s="30">
        <f>IF(E4="", "", VLOOKUP(E4,'Materials Table'!$A$1:$N$30, 14, FALSE))</f>
        <v>0.88</v>
      </c>
      <c r="G4" s="30">
        <f t="shared" ref="G4:G10" si="0">IF(E4="", "", ROUND(D4*F4,0))</f>
        <v>49</v>
      </c>
      <c r="I4" s="28">
        <v>1</v>
      </c>
      <c r="J4" s="28">
        <v>1.3</v>
      </c>
      <c r="K4" s="30">
        <f t="shared" ref="K4:K5" si="1">ROUND(G4*I4*J4,0)</f>
        <v>64</v>
      </c>
    </row>
    <row r="5" spans="2:11" x14ac:dyDescent="0.3">
      <c r="B5" s="27" t="s">
        <v>144</v>
      </c>
      <c r="C5" s="27" t="s">
        <v>179</v>
      </c>
      <c r="D5" s="28">
        <f>10*18</f>
        <v>180</v>
      </c>
      <c r="E5" s="29" t="s">
        <v>40</v>
      </c>
      <c r="F5" s="30">
        <f>IF(E5="", "", VLOOKUP(E5,'Materials Table'!$A$1:$N$30, 14, FALSE))</f>
        <v>0.78</v>
      </c>
      <c r="G5" s="30">
        <f t="shared" si="0"/>
        <v>140</v>
      </c>
      <c r="I5" s="28">
        <v>1</v>
      </c>
      <c r="J5" s="28">
        <v>1.3</v>
      </c>
      <c r="K5" s="30">
        <f t="shared" si="1"/>
        <v>182</v>
      </c>
    </row>
    <row r="6" spans="2:11" x14ac:dyDescent="0.3">
      <c r="B6" s="27"/>
      <c r="C6" s="27"/>
      <c r="D6" s="28"/>
      <c r="E6" s="29"/>
      <c r="F6" s="30" t="str">
        <f>IF(E6="", "", VLOOKUP(E6,'Materials Table'!$A$1:$N$30, 14, FALSE))</f>
        <v/>
      </c>
      <c r="G6" s="30" t="str">
        <f t="shared" si="0"/>
        <v/>
      </c>
      <c r="I6" s="28"/>
      <c r="J6" s="28"/>
      <c r="K6" s="30"/>
    </row>
    <row r="7" spans="2:11" x14ac:dyDescent="0.3">
      <c r="B7" s="27"/>
      <c r="C7" s="27"/>
      <c r="D7" s="28"/>
      <c r="E7" s="29"/>
      <c r="F7" s="30" t="str">
        <f>IF(E7="", "", VLOOKUP(E7,'Materials Table'!$A$1:$N$30, 14, FALSE))</f>
        <v/>
      </c>
      <c r="G7" s="30" t="str">
        <f t="shared" si="0"/>
        <v/>
      </c>
      <c r="I7" s="28"/>
      <c r="J7" s="28"/>
      <c r="K7" s="30"/>
    </row>
    <row r="8" spans="2:11" ht="15.6" x14ac:dyDescent="0.3">
      <c r="B8" s="27"/>
      <c r="C8" s="27"/>
      <c r="D8" s="28"/>
      <c r="E8" s="31"/>
      <c r="F8" s="30" t="str">
        <f>IF(E8="", "", VLOOKUP(E8,'Materials Table'!$A$1:$N$30, 14, FALSE))</f>
        <v/>
      </c>
      <c r="G8" s="30" t="str">
        <f t="shared" si="0"/>
        <v/>
      </c>
      <c r="I8" s="28"/>
      <c r="J8" s="28"/>
      <c r="K8" s="30"/>
    </row>
    <row r="9" spans="2:11" x14ac:dyDescent="0.3">
      <c r="B9" s="27"/>
      <c r="C9" s="27"/>
      <c r="D9" s="28"/>
      <c r="E9" s="29"/>
      <c r="F9" s="30" t="str">
        <f>IF(E9="", "", VLOOKUP(E9,'Materials Table'!$A$1:$N$30, 14, FALSE))</f>
        <v/>
      </c>
      <c r="G9" s="30" t="str">
        <f t="shared" si="0"/>
        <v/>
      </c>
      <c r="I9" s="28"/>
      <c r="J9" s="28"/>
      <c r="K9" s="30"/>
    </row>
    <row r="10" spans="2:11" x14ac:dyDescent="0.3">
      <c r="B10" s="27"/>
      <c r="C10" s="27"/>
      <c r="D10" s="28"/>
      <c r="E10" s="29"/>
      <c r="F10" s="30" t="str">
        <f>IF(E10="", "", VLOOKUP(E10,'Materials Table'!$A$1:$N$30, 14, FALSE))</f>
        <v/>
      </c>
      <c r="G10" s="30" t="str">
        <f t="shared" si="0"/>
        <v/>
      </c>
      <c r="I10" s="28"/>
      <c r="J10" s="28"/>
      <c r="K10" s="30"/>
    </row>
    <row r="16" spans="2:11" x14ac:dyDescent="0.3">
      <c r="C16" s="32" t="s">
        <v>134</v>
      </c>
    </row>
    <row r="17" spans="2:4" x14ac:dyDescent="0.3">
      <c r="C17" s="24">
        <f>SUM(K3:K10)</f>
        <v>411</v>
      </c>
      <c r="D17" s="25" t="s">
        <v>180</v>
      </c>
    </row>
    <row r="18" spans="2:4" x14ac:dyDescent="0.3">
      <c r="B18" s="32" t="s">
        <v>181</v>
      </c>
      <c r="C18" s="36">
        <f>ROUND(C17/83,1)</f>
        <v>5</v>
      </c>
      <c r="D18" s="37" t="s">
        <v>168</v>
      </c>
    </row>
    <row r="19" spans="2:4" x14ac:dyDescent="0.3">
      <c r="C19" s="36"/>
      <c r="D19" s="2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BEA3C6-286B-4CA1-8742-2D1A2584FB79}">
          <x14:formula1>
            <xm:f>'Materials Table'!$A$2:$A$30</xm:f>
          </x14:formula1>
          <xm:sqref>E3:E10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5c5be4-b246-4290-a5a4-9314bbf57844">
      <Terms xmlns="http://schemas.microsoft.com/office/infopath/2007/PartnerControls"/>
    </lcf76f155ced4ddcb4097134ff3c332f>
    <TaxCatchAll xmlns="77a19872-360c-4586-a83b-19fbd1a23d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9FBCD62E75547BB7DAA7261E3FD08" ma:contentTypeVersion="18" ma:contentTypeDescription="Create a new document." ma:contentTypeScope="" ma:versionID="1875d7926972a6272e43fc801ea37326">
  <xsd:schema xmlns:xsd="http://www.w3.org/2001/XMLSchema" xmlns:xs="http://www.w3.org/2001/XMLSchema" xmlns:p="http://schemas.microsoft.com/office/2006/metadata/properties" xmlns:ns2="bd5c5be4-b246-4290-a5a4-9314bbf57844" xmlns:ns3="77a19872-360c-4586-a83b-19fbd1a23de9" targetNamespace="http://schemas.microsoft.com/office/2006/metadata/properties" ma:root="true" ma:fieldsID="afa1232583e50995f28f650b80976609" ns2:_="" ns3:_="">
    <xsd:import namespace="bd5c5be4-b246-4290-a5a4-9314bbf57844"/>
    <xsd:import namespace="77a19872-360c-4586-a83b-19fbd1a23d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c5be4-b246-4290-a5a4-9314bbf57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336577f-1ebf-4ce4-b331-780542bf75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19872-360c-4586-a83b-19fbd1a23d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e290b3-971f-47a8-a966-1e4086967d36}" ma:internalName="TaxCatchAll" ma:showField="CatchAllData" ma:web="77a19872-360c-4586-a83b-19fbd1a23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09CAF0-3B02-4D77-8C24-DF01ABFF71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30EA80-DA48-4C53-88C8-F0239F4FAB28}">
  <ds:schemaRefs>
    <ds:schemaRef ds:uri="http://schemas.microsoft.com/office/2006/metadata/properties"/>
    <ds:schemaRef ds:uri="http://schemas.microsoft.com/office/infopath/2007/PartnerControls"/>
    <ds:schemaRef ds:uri="bd5c5be4-b246-4290-a5a4-9314bbf57844"/>
    <ds:schemaRef ds:uri="77a19872-360c-4586-a83b-19fbd1a23de9"/>
  </ds:schemaRefs>
</ds:datastoreItem>
</file>

<file path=customXml/itemProps3.xml><?xml version="1.0" encoding="utf-8"?>
<ds:datastoreItem xmlns:ds="http://schemas.openxmlformats.org/officeDocument/2006/customXml" ds:itemID="{B7FB8A7D-3887-4215-8244-DCF3CB904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5c5be4-b246-4290-a5a4-9314bbf57844"/>
    <ds:schemaRef ds:uri="77a19872-360c-4586-a83b-19fbd1a23d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Benchmarks v2</vt:lpstr>
      <vt:lpstr>Materials Table</vt:lpstr>
      <vt:lpstr>Heating-Houses-TM65.1</vt:lpstr>
      <vt:lpstr>Heating-Apartments-TM65.1</vt:lpstr>
      <vt:lpstr>Bathroom &amp; WC</vt:lpstr>
      <vt:lpstr>Kitchen (2)</vt:lpstr>
      <vt:lpstr>Electrical system</vt:lpstr>
      <vt:lpstr>Water supply drainage</vt:lpstr>
      <vt:lpstr>Wall finishes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Gabbianelli, Marika</dc:creator>
  <cp:keywords/>
  <dc:description/>
  <cp:lastModifiedBy>Adam Graveley</cp:lastModifiedBy>
  <cp:revision/>
  <dcterms:created xsi:type="dcterms:W3CDTF">2024-02-01T12:09:49Z</dcterms:created>
  <dcterms:modified xsi:type="dcterms:W3CDTF">2026-07-23T02:11:10Z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0x01010094C9FBCD62E75547BB7DAA7261E3FD08</vt:lpwstr>
  </property>
  <property fmtid="{D5CDD505-2E9C-101B-9397-08002B2CF9AE}" pid="3" name="MediaServiceImageTags">
    <vt:lpwstr/>
  </property>
</Properties>
</file>